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mc:AlternateContent xmlns:mc="http://schemas.openxmlformats.org/markup-compatibility/2006">
    <mc:Choice Requires="x15">
      <x15ac:absPath xmlns:x15ac="http://schemas.microsoft.com/office/spreadsheetml/2010/11/ac" url="Z:\LLNLProjects\LSST\Final Design\System Integration\"/>
    </mc:Choice>
  </mc:AlternateContent>
  <xr:revisionPtr revIDLastSave="0" documentId="13_ncr:1_{3FEA0DAF-9E5D-4775-B693-3D3876CAAC57}" xr6:coauthVersionLast="43" xr6:coauthVersionMax="43" xr10:uidLastSave="{00000000-0000-0000-0000-000000000000}"/>
  <bookViews>
    <workbookView xWindow="-120" yWindow="-120" windowWidth="29040" windowHeight="17640" tabRatio="566" activeTab="1" xr2:uid="{00000000-000D-0000-FFFF-FFFF00000000}"/>
  </bookViews>
  <sheets>
    <sheet name="Title Page" sheetId="4" r:id="rId1"/>
    <sheet name="Image Quality Error Tree" sheetId="1" r:id="rId2"/>
    <sheet name="Sheet1" sheetId="5" r:id="rId3"/>
  </sheets>
  <externalReferences>
    <externalReference r:id="rId4"/>
    <externalReference r:id="rId5"/>
  </externalReferences>
  <definedNames>
    <definedName name="__xlnm.Print_Area_1">'Title Page'!$B$12:$F$46</definedName>
    <definedName name="__xlnm.Print_Area_2">#N/A</definedName>
    <definedName name="__xlnm.Print_Titles_1">('[1]Throughput Budget'!$B:$B,'[1]Throughput Budget'!$5:$7)</definedName>
    <definedName name="_ZF102_1">#N/A</definedName>
    <definedName name="_ZF103_1">#N/A</definedName>
    <definedName name="Aluminum">2.71</definedName>
    <definedName name="AlumNitride">3.3</definedName>
    <definedName name="Av_Wl" localSheetId="0">NA()</definedName>
    <definedName name="Av_Wl">'[2]Ellipticity Budget'!$B$15</definedName>
    <definedName name="Copper">8.9</definedName>
    <definedName name="Eff__r0" localSheetId="0">NA()</definedName>
    <definedName name="Eff__r0">'[2]Ellipticity Budget'!$B$16</definedName>
    <definedName name="FusedSilica">2.2</definedName>
    <definedName name="Invar">8.03</definedName>
    <definedName name="Out_Sc" localSheetId="0">NA()</definedName>
    <definedName name="Out_Sc">'[2]Ellipticity Budget'!$C$46</definedName>
    <definedName name="PCP">1.8</definedName>
    <definedName name="_xlnm.Print_Area" localSheetId="1">'Image Quality Error Tree'!$B$2:$Z$254</definedName>
    <definedName name="_xlnm.Print_Area" localSheetId="0">'Title Page'!$B$2:$E$47</definedName>
    <definedName name="_xlnm.Print_Titles" localSheetId="1">'Image Quality Error Tree'!$B:$D,'Image Quality Error Tree'!$2:$7</definedName>
    <definedName name="Ref_r0" localSheetId="0">NA()</definedName>
    <definedName name="Ref_r0">'[2]Ellipticity Budget'!$B$13</definedName>
    <definedName name="Ref_Wl" localSheetId="0">NA()</definedName>
    <definedName name="Ref_Wl">'[2]Ellipticity Budget'!$B$14</definedName>
    <definedName name="SiC">3.15</definedName>
    <definedName name="Silicon">2.33</definedName>
    <definedName name="Steel">7.8</definedName>
    <definedName name="Titanium">4.4</definedName>
    <definedName name="Z_30C352BF_A10A_4289_B356_2E490539740C_.wvu.PrintTitles" localSheetId="1" hidden="1">'Image Quality Error Tree'!$B:$D,'Image Quality Error Tree'!$7:$7</definedName>
    <definedName name="ZA0_1">"Crystal Ball Data : Ver. 5.2.2"</definedName>
    <definedName name="ZA0A_1">0+0</definedName>
    <definedName name="ZA0C_1">0+0</definedName>
    <definedName name="ZA0D_1">0+0</definedName>
    <definedName name="ZA0F_1">2+103</definedName>
    <definedName name="ZA0T_1">622561500+0</definedName>
    <definedName name="ZD" localSheetId="0">#N/A</definedName>
    <definedName name="ZD">'Image Quality Error Tree'!#REF!</definedName>
    <definedName name="ZF102_1">'Image Quality Error Tree'!#REF!+"Tel+Cam"+""+769+769+473+168+129+453+588+4+3+"-"+"+"+2.6+50+18+4+95+0.0139879075865589+5+2+"-"+"+"+-1+-1+0</definedName>
    <definedName name="ZF103_1">'Image Quality Error Tree'!#REF!+"Jitter"+"arcsec"+769+769+473+510+942+795+1401+4+3+"-"+"+"+2.6+50+17+4+95+0.00285043856274785+5+2+"-"+"+"+-1+-1+0</definedName>
  </definedNames>
  <calcPr calcId="191029"/>
  <customWorkbookViews>
    <customWorkbookView name="Vincent Riot - Personal View" guid="{30C352BF-A10A-4289-B356-2E490539740C}" mergeInterval="0" personalView="1" maximized="1" xWindow="1" yWindow="1" windowWidth="1280" windowHeight="806" tabRatio="566" activeSheetId="1"/>
    <customWorkbookView name="Overview View" guid="{D83F854B-92AD-41EB-946D-8298095D5E81}" includePrintSettings="0" includeHiddenRowCol="0" maximized="1" xWindow="1" yWindow="1" windowWidth="1280" windowHeight="806" tabRatio="56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66" i="1" l="1"/>
  <c r="I72" i="1" l="1"/>
  <c r="M171" i="1" l="1"/>
  <c r="K171" i="1"/>
  <c r="Q177" i="1"/>
  <c r="Q176" i="1"/>
  <c r="Q175" i="1"/>
  <c r="L53" i="1" l="1"/>
  <c r="L51" i="1"/>
  <c r="I46" i="1" s="1"/>
  <c r="K73" i="1" l="1"/>
  <c r="K74" i="1"/>
  <c r="K75" i="1"/>
  <c r="K76" i="1"/>
  <c r="K77" i="1"/>
  <c r="K78" i="1"/>
  <c r="K79" i="1"/>
  <c r="M73" i="1"/>
  <c r="M74" i="1"/>
  <c r="M75" i="1"/>
  <c r="M76" i="1"/>
  <c r="M77" i="1"/>
  <c r="M78" i="1"/>
  <c r="M79" i="1"/>
  <c r="N61" i="1"/>
  <c r="N62" i="1"/>
  <c r="N63" i="1"/>
  <c r="L70" i="1" l="1"/>
  <c r="L69" i="1"/>
  <c r="P69" i="1" s="1"/>
  <c r="L67" i="1"/>
  <c r="L68" i="1"/>
  <c r="P26" i="1"/>
  <c r="I22" i="1"/>
  <c r="P19" i="1"/>
  <c r="P18" i="1"/>
  <c r="P15" i="1"/>
  <c r="P232" i="1"/>
  <c r="P231" i="1"/>
  <c r="P228" i="1"/>
  <c r="P227" i="1"/>
  <c r="P224" i="1"/>
  <c r="P223" i="1"/>
  <c r="P220" i="1"/>
  <c r="P219" i="1"/>
  <c r="P215" i="1"/>
  <c r="P214" i="1"/>
  <c r="P213" i="1"/>
  <c r="P212" i="1"/>
  <c r="P211" i="1"/>
  <c r="P210" i="1"/>
  <c r="P207" i="1"/>
  <c r="P206" i="1"/>
  <c r="P205" i="1"/>
  <c r="P204" i="1"/>
  <c r="P203" i="1"/>
  <c r="P196" i="1"/>
  <c r="P195" i="1"/>
  <c r="P194" i="1"/>
  <c r="P185" i="1"/>
  <c r="P179" i="1"/>
  <c r="P171" i="1"/>
  <c r="P166" i="1"/>
  <c r="P161" i="1"/>
  <c r="P153" i="1"/>
  <c r="P146" i="1"/>
  <c r="P139" i="1"/>
  <c r="P132" i="1"/>
  <c r="P125" i="1"/>
  <c r="P122" i="1"/>
  <c r="P121" i="1"/>
  <c r="P120" i="1"/>
  <c r="P116" i="1"/>
  <c r="P115" i="1"/>
  <c r="P114" i="1"/>
  <c r="P113" i="1"/>
  <c r="P110" i="1"/>
  <c r="P109" i="1"/>
  <c r="P108" i="1"/>
  <c r="P105" i="1"/>
  <c r="P104" i="1"/>
  <c r="P103" i="1"/>
  <c r="P100" i="1"/>
  <c r="P99" i="1"/>
  <c r="P98" i="1"/>
  <c r="P95" i="1"/>
  <c r="P94" i="1"/>
  <c r="P93" i="1"/>
  <c r="P90" i="1"/>
  <c r="P89" i="1"/>
  <c r="P88" i="1"/>
  <c r="P85" i="1"/>
  <c r="P84" i="1"/>
  <c r="P83" i="1"/>
  <c r="P79" i="1"/>
  <c r="P78" i="1"/>
  <c r="P77" i="1"/>
  <c r="P76" i="1"/>
  <c r="P75" i="1"/>
  <c r="P74" i="1"/>
  <c r="P73" i="1"/>
  <c r="P70" i="1"/>
  <c r="P68" i="1"/>
  <c r="P67" i="1"/>
  <c r="P66" i="1"/>
  <c r="P59" i="1"/>
  <c r="I119" i="1"/>
  <c r="P119" i="1" s="1"/>
  <c r="I158" i="1"/>
  <c r="P158" i="1" s="1"/>
  <c r="I193" i="1"/>
  <c r="P193" i="1" s="1"/>
  <c r="I234" i="1"/>
  <c r="P234" i="1" s="1"/>
  <c r="P52" i="1"/>
  <c r="P51" i="1"/>
  <c r="P50" i="1"/>
  <c r="P49" i="1"/>
  <c r="P48" i="1"/>
  <c r="P47" i="1"/>
  <c r="P36" i="1"/>
  <c r="P35" i="1"/>
  <c r="P34" i="1"/>
  <c r="P33" i="1"/>
  <c r="P32" i="1"/>
  <c r="P29" i="1"/>
  <c r="P28" i="1"/>
  <c r="P27" i="1"/>
  <c r="P25" i="1"/>
  <c r="P24" i="1"/>
  <c r="P23" i="1"/>
  <c r="P16" i="1"/>
  <c r="P17" i="1"/>
  <c r="P20" i="1"/>
  <c r="P63" i="1"/>
  <c r="P62" i="1"/>
  <c r="P61" i="1"/>
  <c r="I58" i="1" l="1"/>
  <c r="F57" i="1" s="1"/>
  <c r="I14" i="1"/>
  <c r="M110" i="1"/>
  <c r="M109" i="1"/>
  <c r="M105" i="1"/>
  <c r="M104" i="1"/>
  <c r="K84" i="1" l="1"/>
  <c r="K85" i="1"/>
  <c r="K83" i="1"/>
  <c r="K89" i="1"/>
  <c r="K94" i="1"/>
  <c r="K95" i="1"/>
  <c r="K93" i="1"/>
  <c r="K88" i="1"/>
  <c r="K90" i="1"/>
  <c r="M84" i="1"/>
  <c r="K99" i="1"/>
  <c r="M99" i="1" l="1"/>
  <c r="M37" i="1" l="1"/>
  <c r="L37" i="1" s="1"/>
  <c r="K37" i="1"/>
  <c r="Q38" i="1"/>
  <c r="Q39" i="1"/>
  <c r="Q40" i="1"/>
  <c r="P37" i="1" l="1"/>
  <c r="K115" i="1"/>
  <c r="K116" i="1"/>
  <c r="K113" i="1"/>
  <c r="K114" i="1"/>
  <c r="M116" i="1"/>
  <c r="M115" i="1"/>
  <c r="M114" i="1"/>
  <c r="M113" i="1"/>
  <c r="M108" i="1"/>
  <c r="K108" i="1"/>
  <c r="K109" i="1"/>
  <c r="M100" i="1"/>
  <c r="M94" i="1"/>
  <c r="M95" i="1"/>
  <c r="M93" i="1"/>
  <c r="M89" i="1"/>
  <c r="M90" i="1"/>
  <c r="M88" i="1"/>
  <c r="M85" i="1"/>
  <c r="M83" i="1"/>
  <c r="J112" i="1" l="1"/>
  <c r="I112" i="1" s="1"/>
  <c r="H112" i="1"/>
  <c r="K185" i="1"/>
  <c r="M166" i="1"/>
  <c r="J22" i="1"/>
  <c r="H22" i="1"/>
  <c r="P22" i="1" s="1"/>
  <c r="Q25" i="1"/>
  <c r="P112" i="1" l="1"/>
  <c r="Q115" i="1"/>
  <c r="K110" i="1" l="1"/>
  <c r="Q108" i="1"/>
  <c r="Q110" i="1" l="1"/>
  <c r="H107" i="1"/>
  <c r="Q109" i="1"/>
  <c r="J107" i="1"/>
  <c r="I107" i="1" s="1"/>
  <c r="P107" i="1" s="1"/>
  <c r="Q90" i="1"/>
  <c r="Q89" i="1"/>
  <c r="Q88" i="1"/>
  <c r="J87" i="1"/>
  <c r="I87" i="1" s="1"/>
  <c r="H87" i="1"/>
  <c r="Q85" i="1"/>
  <c r="Q84" i="1"/>
  <c r="Q83" i="1"/>
  <c r="H82" i="1"/>
  <c r="J82" i="1"/>
  <c r="I82" i="1" s="1"/>
  <c r="Q94" i="1"/>
  <c r="H92" i="1"/>
  <c r="K104" i="1"/>
  <c r="K105" i="1"/>
  <c r="K100" i="1"/>
  <c r="M98" i="1"/>
  <c r="P87" i="1" l="1"/>
  <c r="P82" i="1"/>
  <c r="Q87" i="1"/>
  <c r="Q107" i="1"/>
  <c r="Q93" i="1"/>
  <c r="Q95" i="1"/>
  <c r="J92" i="1"/>
  <c r="Q82" i="1"/>
  <c r="Q92" i="1" l="1"/>
  <c r="I92" i="1"/>
  <c r="K53" i="1"/>
  <c r="Q55" i="1"/>
  <c r="Q54" i="1"/>
  <c r="M53" i="1"/>
  <c r="J46" i="1" s="1"/>
  <c r="Q52" i="1"/>
  <c r="Q51" i="1"/>
  <c r="Q50" i="1"/>
  <c r="Q49" i="1"/>
  <c r="Q48" i="1"/>
  <c r="Q47" i="1"/>
  <c r="Q70" i="1"/>
  <c r="Q69" i="1"/>
  <c r="Q68" i="1"/>
  <c r="Q67" i="1"/>
  <c r="Q44" i="1"/>
  <c r="Q43" i="1"/>
  <c r="M42" i="1"/>
  <c r="K42" i="1"/>
  <c r="H31" i="1" s="1"/>
  <c r="Q37" i="1"/>
  <c r="Q36" i="1"/>
  <c r="Q35" i="1"/>
  <c r="Q34" i="1"/>
  <c r="Q33" i="1"/>
  <c r="Q32" i="1"/>
  <c r="Q29" i="1"/>
  <c r="Q28" i="1"/>
  <c r="Q27" i="1"/>
  <c r="Q26" i="1"/>
  <c r="Q24" i="1"/>
  <c r="Q23" i="1"/>
  <c r="J14" i="1"/>
  <c r="H14" i="1"/>
  <c r="P14" i="1" s="1"/>
  <c r="Q16" i="1"/>
  <c r="Q17" i="1"/>
  <c r="Q18" i="1"/>
  <c r="Q19" i="1"/>
  <c r="H46" i="1" l="1"/>
  <c r="P46" i="1" s="1"/>
  <c r="P53" i="1"/>
  <c r="J31" i="1"/>
  <c r="L42" i="1"/>
  <c r="P92" i="1"/>
  <c r="Q53" i="1"/>
  <c r="Q42" i="1"/>
  <c r="I31" i="1" l="1"/>
  <c r="P42" i="1"/>
  <c r="B3" i="1"/>
  <c r="B2" i="1"/>
  <c r="P31" i="1" l="1"/>
  <c r="F13" i="1"/>
  <c r="N155" i="1"/>
  <c r="K153" i="1" s="1"/>
  <c r="O155" i="1"/>
  <c r="N60" i="1"/>
  <c r="P60" i="1" s="1"/>
  <c r="O61" i="1"/>
  <c r="O62" i="1"/>
  <c r="O63" i="1"/>
  <c r="O60" i="1"/>
  <c r="N64" i="1"/>
  <c r="P64" i="1" s="1"/>
  <c r="O64" i="1"/>
  <c r="M59" i="1" l="1"/>
  <c r="J72" i="1"/>
  <c r="H72" i="1"/>
  <c r="K59" i="1"/>
  <c r="Q73" i="1"/>
  <c r="P72" i="1" l="1"/>
  <c r="Q181" i="1"/>
  <c r="Q168" i="1"/>
  <c r="K161" i="1"/>
  <c r="M161" i="1"/>
  <c r="K166" i="1"/>
  <c r="Q164" i="1"/>
  <c r="Q169" i="1"/>
  <c r="Q174" i="1"/>
  <c r="Q172" i="1"/>
  <c r="Q167" i="1"/>
  <c r="Q162" i="1"/>
  <c r="Q119" i="1"/>
  <c r="Q204" i="1"/>
  <c r="Q211" i="1"/>
  <c r="O191" i="1"/>
  <c r="Q191" i="1" s="1"/>
  <c r="O190" i="1"/>
  <c r="Q190" i="1" s="1"/>
  <c r="O189" i="1"/>
  <c r="Q189" i="1" s="1"/>
  <c r="O186" i="1"/>
  <c r="O154" i="1"/>
  <c r="M153" i="1" s="1"/>
  <c r="Q15" i="1"/>
  <c r="Q20" i="1"/>
  <c r="H97" i="1"/>
  <c r="J97" i="1"/>
  <c r="I97" i="1" s="1"/>
  <c r="Q98" i="1"/>
  <c r="Q99" i="1"/>
  <c r="Q100" i="1"/>
  <c r="H102" i="1"/>
  <c r="J102" i="1"/>
  <c r="I102" i="1" s="1"/>
  <c r="Q103" i="1"/>
  <c r="Q104" i="1"/>
  <c r="Q105" i="1"/>
  <c r="K125" i="1"/>
  <c r="M125" i="1"/>
  <c r="Q126" i="1"/>
  <c r="Q127" i="1"/>
  <c r="Q128" i="1"/>
  <c r="Q129" i="1"/>
  <c r="Q130" i="1"/>
  <c r="K132" i="1"/>
  <c r="M132" i="1"/>
  <c r="Q133" i="1"/>
  <c r="Q134" i="1"/>
  <c r="Q135" i="1"/>
  <c r="Q136" i="1"/>
  <c r="Q137" i="1"/>
  <c r="K139" i="1"/>
  <c r="M139" i="1"/>
  <c r="Q140" i="1"/>
  <c r="Q141" i="1"/>
  <c r="Q142" i="1"/>
  <c r="Q143" i="1"/>
  <c r="Q144" i="1"/>
  <c r="K146" i="1"/>
  <c r="M146" i="1"/>
  <c r="Q147" i="1"/>
  <c r="Q148" i="1"/>
  <c r="Q149" i="1"/>
  <c r="Q150" i="1"/>
  <c r="Q151" i="1"/>
  <c r="Q79" i="1"/>
  <c r="Q158" i="1"/>
  <c r="Q163" i="1"/>
  <c r="Q173" i="1"/>
  <c r="K179" i="1"/>
  <c r="M179" i="1"/>
  <c r="Q180" i="1"/>
  <c r="Q182" i="1"/>
  <c r="Q183" i="1"/>
  <c r="Q187" i="1"/>
  <c r="O188" i="1"/>
  <c r="Q188" i="1" s="1"/>
  <c r="Q78" i="1"/>
  <c r="Q64" i="1"/>
  <c r="Q77" i="1"/>
  <c r="Q193" i="1"/>
  <c r="H202" i="1"/>
  <c r="J202" i="1"/>
  <c r="I202" i="1" s="1"/>
  <c r="Q203" i="1"/>
  <c r="Q205" i="1"/>
  <c r="Q206" i="1"/>
  <c r="Q207" i="1"/>
  <c r="H209" i="1"/>
  <c r="J209" i="1"/>
  <c r="I209" i="1" s="1"/>
  <c r="Q210" i="1"/>
  <c r="Q212" i="1"/>
  <c r="Q213" i="1"/>
  <c r="Q214" i="1"/>
  <c r="Q215" i="1"/>
  <c r="H218" i="1"/>
  <c r="J218" i="1"/>
  <c r="I218" i="1" s="1"/>
  <c r="Q219" i="1"/>
  <c r="Q220" i="1"/>
  <c r="H222" i="1"/>
  <c r="J222" i="1"/>
  <c r="I222" i="1" s="1"/>
  <c r="P222" i="1" s="1"/>
  <c r="Q223" i="1"/>
  <c r="Q224" i="1"/>
  <c r="H226" i="1"/>
  <c r="J226" i="1"/>
  <c r="I226" i="1" s="1"/>
  <c r="Q227" i="1"/>
  <c r="Q228" i="1"/>
  <c r="H230" i="1"/>
  <c r="J230" i="1"/>
  <c r="I230" i="1" s="1"/>
  <c r="P230" i="1" s="1"/>
  <c r="Q231" i="1"/>
  <c r="Q232" i="1"/>
  <c r="Q234" i="1"/>
  <c r="H58" i="1"/>
  <c r="Q60" i="1"/>
  <c r="Q61" i="1"/>
  <c r="Q62" i="1"/>
  <c r="Q63" i="1"/>
  <c r="Q66" i="1"/>
  <c r="Q74" i="1"/>
  <c r="Q75" i="1"/>
  <c r="Q76" i="1"/>
  <c r="Q113" i="1"/>
  <c r="Q114" i="1"/>
  <c r="Q155" i="1"/>
  <c r="P209" i="1" l="1"/>
  <c r="P97" i="1"/>
  <c r="F81" i="1"/>
  <c r="F201" i="1"/>
  <c r="P202" i="1"/>
  <c r="P102" i="1"/>
  <c r="P226" i="1"/>
  <c r="P218" i="1"/>
  <c r="F217" i="1"/>
  <c r="E57" i="1"/>
  <c r="P57" i="1" s="1"/>
  <c r="P58" i="1"/>
  <c r="H124" i="1"/>
  <c r="E118" i="1" s="1"/>
  <c r="E81" i="1"/>
  <c r="P81" i="1" s="1"/>
  <c r="M185" i="1"/>
  <c r="Q185" i="1" s="1"/>
  <c r="J124" i="1"/>
  <c r="Q116" i="1"/>
  <c r="G81" i="1"/>
  <c r="Q14" i="1"/>
  <c r="Q46" i="1"/>
  <c r="Q161" i="1"/>
  <c r="Q179" i="1"/>
  <c r="Q22" i="1"/>
  <c r="Q31" i="1"/>
  <c r="Q97" i="1"/>
  <c r="Q209" i="1"/>
  <c r="Q202" i="1"/>
  <c r="Q230" i="1"/>
  <c r="Q171" i="1"/>
  <c r="J58" i="1"/>
  <c r="E201" i="1"/>
  <c r="G201" i="1"/>
  <c r="Q226" i="1"/>
  <c r="Q154" i="1"/>
  <c r="Q222" i="1"/>
  <c r="Q218" i="1"/>
  <c r="Q166" i="1"/>
  <c r="Q146" i="1"/>
  <c r="Q132" i="1"/>
  <c r="Q125" i="1"/>
  <c r="Q102" i="1"/>
  <c r="G217" i="1"/>
  <c r="E13" i="1"/>
  <c r="P13" i="1" s="1"/>
  <c r="E217" i="1"/>
  <c r="Q186" i="1"/>
  <c r="H160" i="1"/>
  <c r="E157" i="1" s="1"/>
  <c r="Q72" i="1"/>
  <c r="Q139" i="1"/>
  <c r="G118" i="1" l="1"/>
  <c r="I124" i="1"/>
  <c r="P201" i="1"/>
  <c r="P217" i="1"/>
  <c r="Q112" i="1"/>
  <c r="Q81" i="1"/>
  <c r="Q58" i="1"/>
  <c r="G57" i="1"/>
  <c r="Q57" i="1" s="1"/>
  <c r="E11" i="1"/>
  <c r="Q124" i="1"/>
  <c r="G13" i="1"/>
  <c r="Q13" i="1" s="1"/>
  <c r="Q59" i="1"/>
  <c r="J160" i="1"/>
  <c r="Q201" i="1"/>
  <c r="Q217" i="1"/>
  <c r="Q160" i="1" l="1"/>
  <c r="I160" i="1"/>
  <c r="F118" i="1"/>
  <c r="P124" i="1"/>
  <c r="Q118" i="1"/>
  <c r="G157" i="1"/>
  <c r="G11" i="1" s="1"/>
  <c r="G9" i="1" s="1"/>
  <c r="Q9" i="1" s="1"/>
  <c r="P118" i="1" l="1"/>
  <c r="P160" i="1"/>
  <c r="F157" i="1"/>
  <c r="P157" i="1" s="1"/>
  <c r="Q11" i="1"/>
  <c r="Q157" i="1"/>
  <c r="F11" i="1" l="1"/>
  <c r="F9" i="1" l="1"/>
  <c r="P9" i="1" s="1"/>
  <c r="P11" i="1"/>
</calcChain>
</file>

<file path=xl/sharedStrings.xml><?xml version="1.0" encoding="utf-8"?>
<sst xmlns="http://schemas.openxmlformats.org/spreadsheetml/2006/main" count="1106" uniqueCount="586">
  <si>
    <t>Alloc.</t>
  </si>
  <si>
    <t>Est.</t>
  </si>
  <si>
    <t>Level 1</t>
  </si>
  <si>
    <t>Level 2</t>
  </si>
  <si>
    <t>Level 3</t>
  </si>
  <si>
    <t>Level 4</t>
  </si>
  <si>
    <t>Alloc. to:</t>
  </si>
  <si>
    <t>Correlation</t>
  </si>
  <si>
    <t>Camera Top-Down Allocation</t>
  </si>
  <si>
    <t>Camera Bottoms-Up</t>
  </si>
  <si>
    <t>Optical Fabrication</t>
  </si>
  <si>
    <t>nominal zenith-oriented orientation off optics mounts</t>
  </si>
  <si>
    <t>L1 Optical fabrication</t>
  </si>
  <si>
    <t>L1</t>
  </si>
  <si>
    <t>variation in material properties in the lens</t>
  </si>
  <si>
    <t>as-built shape of lens, supported off flexures</t>
  </si>
  <si>
    <t>L2 Optical fabrication</t>
  </si>
  <si>
    <t>L2</t>
  </si>
  <si>
    <t>Filter Optical fabrication</t>
  </si>
  <si>
    <t>Filter</t>
  </si>
  <si>
    <t>L3 Optical fabrication</t>
  </si>
  <si>
    <t>L3</t>
  </si>
  <si>
    <t>nominal zenith-pointed orientation</t>
  </si>
  <si>
    <t>Body</t>
  </si>
  <si>
    <t>Filter integration</t>
  </si>
  <si>
    <t>Filter Exch</t>
  </si>
  <si>
    <t>L3 integration</t>
  </si>
  <si>
    <t>L3 decenter error as-installed</t>
  </si>
  <si>
    <t>Cryostat</t>
  </si>
  <si>
    <t>L3 tip/tilt error as-installed</t>
  </si>
  <si>
    <t>L3 piston error as-installed</t>
  </si>
  <si>
    <t>Gravity-Induced</t>
  </si>
  <si>
    <t>distortion/motion due to changing zenith-angle</t>
  </si>
  <si>
    <t>L1 gravity-induced flexure and distortion</t>
  </si>
  <si>
    <t>L1 stresses due to changing gravity vector</t>
  </si>
  <si>
    <t>Grav orient.</t>
  </si>
  <si>
    <t>change in stresses in glass affect index of refraction</t>
  </si>
  <si>
    <t>change in figure due to distortions imparted on lens from changing gravity vector</t>
  </si>
  <si>
    <t>(non-correctable) residual offset of L1 wrt corrected axis</t>
  </si>
  <si>
    <t>L2 gravity-induced flexure and distortion</t>
  </si>
  <si>
    <t>L2 stresses due to changing gravity vector</t>
  </si>
  <si>
    <t>(non-correctable) residual offset of L2 wrt corrected axis</t>
  </si>
  <si>
    <t>Filter stresses due to changing gravity vector</t>
  </si>
  <si>
    <t>change in figure due to distortions imparted on filters from changing gravity vector; distortions are different for each filter</t>
  </si>
  <si>
    <t>(non-correctable) residual offset of filter wrt corrected axis; residual offset is different for each filter</t>
  </si>
  <si>
    <t>L3 gravity-induced flexure and distortion</t>
  </si>
  <si>
    <t>L3 stresses due to changing gravity vector</t>
  </si>
  <si>
    <t>change in figure due to distortions imparted on L3 from cryostat due to changing gravity vector</t>
  </si>
  <si>
    <t>(non-correctable) residual offset of L3 wrt corrected axis</t>
  </si>
  <si>
    <t>Detector Plane gravity-induced flexure and distortion</t>
  </si>
  <si>
    <t>Grid bow/twist due to changing gravity vector</t>
  </si>
  <si>
    <t>Grid</t>
  </si>
  <si>
    <t>change in Grid flatness wrt zenith-pointed</t>
  </si>
  <si>
    <t>Variation in K.C. pre-load due to changing gravity vector</t>
  </si>
  <si>
    <t>varying gravity vector changes compression pre-load and height in K.C. joint</t>
  </si>
  <si>
    <t>Raft bowing due to changing gravity vector</t>
  </si>
  <si>
    <t>Raft</t>
  </si>
  <si>
    <t>wrt zenith-pointed orientation; not included in raft flatness spec, since it is only measured vertically</t>
  </si>
  <si>
    <t>Thermally-Induced</t>
  </si>
  <si>
    <t>Internal seeing errors due to natural convection cells</t>
  </si>
  <si>
    <t>Non-correlated thermally induced</t>
  </si>
  <si>
    <t>L1 thermal motions and distortions</t>
  </si>
  <si>
    <t>L1 distortion with temp gradients</t>
  </si>
  <si>
    <t>Cam temp</t>
  </si>
  <si>
    <t>L2 thermal motions and distortions</t>
  </si>
  <si>
    <t>L2 distortion with temp gradients</t>
  </si>
  <si>
    <t>Filter thermal motions and distortions</t>
  </si>
  <si>
    <t>L3 thermal motions and distortions</t>
  </si>
  <si>
    <t>L3 temperature gradient</t>
  </si>
  <si>
    <t>L3 distortion with temp gradients</t>
  </si>
  <si>
    <t>lens distortion due to temp gradients in the glass</t>
  </si>
  <si>
    <t>L3 glass stress due to temp gradients</t>
  </si>
  <si>
    <t>stress due to temp gradients affects index of refraction of glass</t>
  </si>
  <si>
    <t>L3 condensation/dust</t>
  </si>
  <si>
    <t>Detector plane thermal motions and distortions</t>
  </si>
  <si>
    <t>pistoning due to change in cryostat temperature</t>
  </si>
  <si>
    <t>Grid tip/tilt due to flexure dTemp</t>
  </si>
  <si>
    <t>grid tip/tilt due to changes in cryostat temp that change flexure gradients differently</t>
  </si>
  <si>
    <t>Grid piston due to flexure dTemp</t>
  </si>
  <si>
    <t>grid pistoning due to changes in cryostat temp that change average flexure gradient</t>
  </si>
  <si>
    <t>Grid distortion due to changing radiative heat loads</t>
  </si>
  <si>
    <t>distortion due to changing temp gradients from varying radiative env</t>
  </si>
  <si>
    <t>Raft distortion due to variable IR heat load</t>
  </si>
  <si>
    <t>swelling/contracting and warping from changes to IR heat load on sensors</t>
  </si>
  <si>
    <t>Grid bulk temp change</t>
  </si>
  <si>
    <t>Cryo pl temp</t>
  </si>
  <si>
    <t>dilation/contraction/piston due to change in cryogen temp</t>
  </si>
  <si>
    <t>Grid distortion due to changing cryo plate temps</t>
  </si>
  <si>
    <t>distortion due to changing gradients in grid from changes in cryo plate temps</t>
  </si>
  <si>
    <t>Sensor pkg distortion due to cooldown</t>
  </si>
  <si>
    <t>Sensor</t>
  </si>
  <si>
    <t>due to temp gradients and differential CTE's in package</t>
  </si>
  <si>
    <t>Raft plate bowing due to temp gradients</t>
  </si>
  <si>
    <t>bowing due to temp gradients and differential CTE's in raft plate</t>
  </si>
  <si>
    <t>Correlated thermally induced</t>
  </si>
  <si>
    <t>Not RSS-ed</t>
  </si>
  <si>
    <t>N/A</t>
  </si>
  <si>
    <t>Pressure-Induced</t>
  </si>
  <si>
    <t>L1 pressure-induced motions and distortions</t>
  </si>
  <si>
    <t>L1 piston due to camera internal pressure</t>
  </si>
  <si>
    <t>Camera dP</t>
  </si>
  <si>
    <t>lens z-motion due to pressure loading</t>
  </si>
  <si>
    <t>L1 distortion due to camera internal pressure</t>
  </si>
  <si>
    <t>glass bowing due to pressure loading</t>
  </si>
  <si>
    <t>stress due to pressure loading affects index of refraction of glass</t>
  </si>
  <si>
    <t>L3 pressure-induced motions and distortions</t>
  </si>
  <si>
    <t>Cryostat dP</t>
  </si>
  <si>
    <t>lens z-motion due to vacuum loading at sea level</t>
  </si>
  <si>
    <t>glass bowing due to vacuum loading at sea level</t>
  </si>
  <si>
    <t>stress due to vacuum loading affects index of refraction of glass</t>
  </si>
  <si>
    <t>L1 vibration and uncorrelated transients</t>
  </si>
  <si>
    <t xml:space="preserve">L1 decenter vibration </t>
  </si>
  <si>
    <t>wind shake, step-and-settle vibrations</t>
  </si>
  <si>
    <t xml:space="preserve">L1 tip/tilt vibration </t>
  </si>
  <si>
    <t>L2 vibration and uncorrelated transients</t>
  </si>
  <si>
    <t xml:space="preserve">L2 decenter vibration </t>
  </si>
  <si>
    <t xml:space="preserve">L2 tip/tilt vibration </t>
  </si>
  <si>
    <t>Filter vibration and uncorrelated transients</t>
  </si>
  <si>
    <t xml:space="preserve">Filter decenter vibration </t>
  </si>
  <si>
    <t>wind shake, step-and-settle vibrations; bound of worst-case motion for any filter</t>
  </si>
  <si>
    <t xml:space="preserve">Filter tip/tilt vibration </t>
  </si>
  <si>
    <t>L3 vibration and uncorrelated transients</t>
  </si>
  <si>
    <t xml:space="preserve">L3 decenter vibration </t>
  </si>
  <si>
    <t xml:space="preserve">L3 tip/tilt vibration </t>
  </si>
  <si>
    <t>Detector plane distortion/vibration</t>
  </si>
  <si>
    <t>Detector Plane Assembly</t>
  </si>
  <si>
    <t>Sensors</t>
  </si>
  <si>
    <t>Flatness</t>
  </si>
  <si>
    <t>as-delivered from manufacturer on its structure</t>
  </si>
  <si>
    <t>Sensor pkg bowing due to assembly forces</t>
  </si>
  <si>
    <t>Sensor pkg motion due to variations in heating</t>
  </si>
  <si>
    <t>due to variations in heat load in sensor and heat path out its feet</t>
  </si>
  <si>
    <t>CCD Charge diffusion</t>
  </si>
  <si>
    <t>CCD Charge transfer efficiency</t>
  </si>
  <si>
    <t>Assume 0.999995 CTE</t>
  </si>
  <si>
    <t>CCD Optical spreading</t>
  </si>
  <si>
    <t>Dependant on Spectral Band; function of wavelength</t>
  </si>
  <si>
    <t>Pixelization error</t>
  </si>
  <si>
    <t>Pixel elongation error</t>
  </si>
  <si>
    <t>Raft Assembly</t>
  </si>
  <si>
    <t>Raft flatness measurement precision</t>
  </si>
  <si>
    <t>includes measurement precision, repeatability of measurement set-up (thermal, struc)</t>
  </si>
  <si>
    <t>Raft hysteretical shifting during cooldown</t>
  </si>
  <si>
    <t>rigid-body hysteretical shifting/tipping of raft assembly on balls during cooldown</t>
  </si>
  <si>
    <t>Raft plate bowing due to assembly loads</t>
  </si>
  <si>
    <t>bowing due to mounting forces from sensor packages</t>
  </si>
  <si>
    <t>Correctable Gravity-Induced Motion</t>
  </si>
  <si>
    <t>L1 corr decenter due to changing gravity vector</t>
  </si>
  <si>
    <t>(correctable) rigid-body motion of L1 wrt vertical orientation</t>
  </si>
  <si>
    <t>L1 corr tip/tilt due to changing gravity vector</t>
  </si>
  <si>
    <t>L1 corr piston due to changing gravity vector</t>
  </si>
  <si>
    <t>L2 corr decenter due to changing gravity vector</t>
  </si>
  <si>
    <t>(correctable) rigid-body motion of L2 wrt vertical orientation</t>
  </si>
  <si>
    <t>L2 corr tip/tilt due to changing gravity vector</t>
  </si>
  <si>
    <t>L2 corr piston due to changing gravity vector</t>
  </si>
  <si>
    <t>Filter corr decenter due to changing gravity vector</t>
  </si>
  <si>
    <t>(correctable) rigid-body motion of Filter wrt vertical orientation; different for each filter</t>
  </si>
  <si>
    <t>Filter corr tip/tilt due to changing gravity vector</t>
  </si>
  <si>
    <t>Filter corr piston due to changing gravity vector</t>
  </si>
  <si>
    <t>L3 corr decenter due to changing gravity vector</t>
  </si>
  <si>
    <t>(correctable) rigid-body motion of L3 wrt vertical orientation</t>
  </si>
  <si>
    <t>L3 corr tip/tilt due to changing gravity vector</t>
  </si>
  <si>
    <t>L3 corr piston due to changing gravity vector</t>
  </si>
  <si>
    <t>Grid non-corr decenter due to changing gravity vector</t>
  </si>
  <si>
    <t>(correctable)</t>
  </si>
  <si>
    <t>Grid non-corr tip/tilt due to changing gravity vector</t>
  </si>
  <si>
    <t>Grid non-corr piston due to changing gravity vector</t>
  </si>
  <si>
    <t>L1 glass stress due to camera internal pressure</t>
  </si>
  <si>
    <t>(John Ku ref is Document-8161)</t>
  </si>
  <si>
    <t>L2 piston due to camera internal pressure on L1</t>
  </si>
  <si>
    <t>Document-8168</t>
  </si>
  <si>
    <t>Document-8167, p5</t>
  </si>
  <si>
    <t>Document-8167, p10</t>
  </si>
  <si>
    <t>Document-8170</t>
  </si>
  <si>
    <t>Document-8165, p4-7, Document-7866, Document-8177 (sheet3, cell B20)</t>
  </si>
  <si>
    <t>Document-7866</t>
  </si>
  <si>
    <t>Document-8196; Document-8177 (sheet 3 Cell B14); Document-7866</t>
  </si>
  <si>
    <t>Document-8196; Document-8177 (sheet 3 Cell B11); Document-7866</t>
  </si>
  <si>
    <t>Document-8196; Document-8177 (sheet 3 cell B14); Document-7866.</t>
  </si>
  <si>
    <t>Document-8162, p15, Document-8263</t>
  </si>
  <si>
    <t>Modelling error: L3 piston due to vacuum loading</t>
  </si>
  <si>
    <t>Modelling error: L3 distortion due to vacuum loading</t>
  </si>
  <si>
    <t>Modelling error: L3 changes in atmosphere pressure</t>
  </si>
  <si>
    <t>Modelling error: L3 glass non bi-refringence</t>
  </si>
  <si>
    <t>Modelling error: L3 glass stress due to vacuum loading</t>
  </si>
  <si>
    <t>Document-8267 (11-18-09), Document-8167, p5</t>
  </si>
  <si>
    <t>Document-8180, p1, Document-8266</t>
  </si>
  <si>
    <t>Document-8266</t>
  </si>
  <si>
    <t xml:space="preserve">Document-8170, p1, Document-8268, p6, </t>
  </si>
  <si>
    <t>Aggregate/correlated effect of L3 piston, bending, stress-induced nominal index change and birefringence</t>
  </si>
  <si>
    <t>Aggregate/correlated effect of L1 piston, L2 piston, L1 bending, and L1 glass stress due to camera internal pressure</t>
  </si>
  <si>
    <t>Non-correlated gravity induced</t>
  </si>
  <si>
    <t>Correlated gravity induced</t>
  </si>
  <si>
    <t>L1 distortion due to modelling error on compensation</t>
  </si>
  <si>
    <t>L2 distortion due to modelling error on compensation</t>
  </si>
  <si>
    <t>Filter distortion due to modelling error on compensation</t>
  </si>
  <si>
    <t>L3 distortion due to modelling error on compensation</t>
  </si>
  <si>
    <t>Document-8162, p15, Document-8525</t>
  </si>
  <si>
    <t>Document-8534</t>
  </si>
  <si>
    <t>Document-8535</t>
  </si>
  <si>
    <t>Document-8536</t>
  </si>
  <si>
    <t>L1 temperature gradient</t>
  </si>
  <si>
    <t>L2 temperature gradient</t>
  </si>
  <si>
    <t>Document-8526, Document-8572</t>
  </si>
  <si>
    <t>Filter condensation/dust</t>
  </si>
  <si>
    <t>L2 condensation/dust</t>
  </si>
  <si>
    <t>Assumes 5.5 micron linear RMS converted to FWHM from diffusion (also dependant on spectral band); function of wavelength</t>
  </si>
  <si>
    <t>FWHM, Area-weighted, field-averaged mean values for r-band (Arcsec)</t>
  </si>
  <si>
    <t>Revisions</t>
  </si>
  <si>
    <t>Change Log</t>
  </si>
  <si>
    <t>References</t>
  </si>
  <si>
    <t>Definitions</t>
  </si>
  <si>
    <t>This document allocates the image quality requirements to camera components</t>
  </si>
  <si>
    <t>Purpose</t>
  </si>
  <si>
    <t>Image Quality Error Tree</t>
  </si>
  <si>
    <t>Document Title</t>
  </si>
  <si>
    <t>System Engineering</t>
  </si>
  <si>
    <t>Subsystem/Office</t>
  </si>
  <si>
    <t>Author(s)</t>
  </si>
  <si>
    <t>Document #</t>
  </si>
  <si>
    <t>PAH - Added title page. Previous change history is contained in imbedded comments. Deleted sheet with old historical budget.</t>
  </si>
  <si>
    <t>Corrected author list</t>
  </si>
  <si>
    <t>Document-14406</t>
  </si>
  <si>
    <t>Rigid body motion</t>
  </si>
  <si>
    <t>Surface deformation</t>
  </si>
  <si>
    <t>Stress induced index change</t>
  </si>
  <si>
    <t>Optical surface deformation</t>
  </si>
  <si>
    <t>L1-L2/L3</t>
  </si>
  <si>
    <t>all distortion/motion due to different gravity load</t>
  </si>
  <si>
    <t>L1 non-corrected decenter due to changing gravity vector</t>
  </si>
  <si>
    <t>L1 non-corrected tip/tilt due to changing gravity vector</t>
  </si>
  <si>
    <t>L1 non-corrected piston due to changing gravity vector</t>
  </si>
  <si>
    <t>L2 non-corrected decenter due to changing gravity vector</t>
  </si>
  <si>
    <t>L2 non-corrected tip/tilt due to changing gravity vector</t>
  </si>
  <si>
    <t>L2 non-corrected piston due to changing gravity vector</t>
  </si>
  <si>
    <t>Filter non-corrected decenter due to changing gravity vector</t>
  </si>
  <si>
    <t>Filter non-corrected tip/tilt due to changing gravity vector</t>
  </si>
  <si>
    <t>Filter non-corrected piston due to changing gravity vector</t>
  </si>
  <si>
    <t>L3 non-corrected decenter due to changing gravity vector</t>
  </si>
  <si>
    <t>L3 non-corrected tip/tilt due to changing gravity vector</t>
  </si>
  <si>
    <t>L3 non-corrected piston due to changing gravity vector</t>
  </si>
  <si>
    <t>Sensor pkg image height measurement precision</t>
  </si>
  <si>
    <t>Optics update from delta-Codr
Charge diffusuion update
Flatness update</t>
  </si>
  <si>
    <t>sensor FDR review documentation</t>
  </si>
  <si>
    <t>Raft Image height tolerance (baseplate)</t>
  </si>
  <si>
    <t>Sensor profile/height</t>
  </si>
  <si>
    <t>Revision A</t>
  </si>
  <si>
    <t>Status</t>
  </si>
  <si>
    <t>Martin Nordby, Brian Baumann, Scot Olivier</t>
  </si>
  <si>
    <t>Revision B</t>
  </si>
  <si>
    <t>Action items:</t>
  </si>
  <si>
    <t>We need to clean the structure of the LCA-17 document as follows:</t>
  </si>
  <si>
    <t>Rename optical assembly as assembly</t>
  </si>
  <si>
    <t>Move Cryostat contributions under assembly, thermal, gravity, vibration)</t>
  </si>
  <si>
    <t>Simplify the focal plane section to show raft specific items (note that raft specific roll everything up in flatness)</t>
  </si>
  <si>
    <t>Should the residual error be at the camera level (are they double counted somewhere else)</t>
  </si>
  <si>
    <t>How are the errors due to camera rotation and camera asymmetry handled and where (the lookup table does not have a rotation angle parameter)</t>
  </si>
  <si>
    <t>We need to clean up the column as follows:</t>
  </si>
  <si>
    <t>Remove the currently empty “Specifications” tab</t>
  </si>
  <si>
    <t>Extract comments into a cell</t>
  </si>
  <si>
    <t>Remove all existing columns</t>
  </si>
  <si>
    <t>Have a column indicating the flowed down allocation number (engineering number. For example 20 um to raft imaging height, 100um to L1 decenter)</t>
  </si>
  <si>
    <t>Have a comment indicating document and REQ ID where either the FWHM or engineering number is flowed down to a sub-system.</t>
  </si>
  <si>
    <t>Martin will make the first pass at the clan-up</t>
  </si>
  <si>
    <t>Vincent will work with Brian to update the FWHM numbers and document conversion from FWHM and engineering numbers.</t>
  </si>
  <si>
    <t>Assembly and Alignment (nominal vertical orientation)</t>
  </si>
  <si>
    <t>BB 11/17/09: 0.003, doc #8263 supporting</t>
  </si>
  <si>
    <t>BB 1/13/2010: entered 0.003" estimate as worse case scenario</t>
  </si>
  <si>
    <t>BB 1/27/2010: 0.003" estimate; L2 distortions, optimized, and resulting error term divided by 4 to model a 25% modeling error.</t>
  </si>
  <si>
    <t>BB 1/13/2010: entered 0.003" as worse case scenario</t>
  </si>
  <si>
    <t>BB 1/27/2010: 0.003" estimate; same as L2 modelling errors since the filters have the same aspect ratio as L2. The filter is slightly closer to the focus and slightly smaller, both of which should reduce the error term.  3 mas would then be a slightly pessimistic number.</t>
  </si>
  <si>
    <t>BB 1/27/2010: 0.001" estimate; L3 distortions, optimized, and resulting error term divided by 4 to model a 25% modeling error.</t>
  </si>
  <si>
    <t>AR: worst-case scenario taken using the gz contribution</t>
  </si>
  <si>
    <t>BB 1/20/2010: 0.016" due to 2C radial gradient</t>
  </si>
  <si>
    <t>BB 1/27/2010: 0.001"; the CTE effect is ~20x weaker than the index of refraction change with temperature of 16mas</t>
  </si>
  <si>
    <t>BB 1/27/2010: 0.000"</t>
  </si>
  <si>
    <t xml:space="preserve">MN: Updated title page; removed requirements flowdown sheet, since it was not being used; </t>
  </si>
  <si>
    <t>BB 1/20/2010: 0.016" est; corresponds to 2C radial gradient</t>
  </si>
  <si>
    <t>BB 1/27/2010: 0.001" est; the CTE effect is ~20x weaker than the index of refraction change with temperature of 16mas</t>
  </si>
  <si>
    <t>AR 1/27/2010: 0.000" est</t>
  </si>
  <si>
    <t>BB 1/20/2010: 0.004" est; The CTE effect is ~20x weaker than the index of refraction change with temperature of 4mas</t>
  </si>
  <si>
    <t>BB 1/27/2010: 0.010" est; The CTE effect is ~20x weaker than the index of refraction change with temperature of 4mas</t>
  </si>
  <si>
    <t>BB 1/27/2010: 0.000" est; The CTE effect is ~20x weaker than the index of refraction change with temperature of 7mas</t>
  </si>
  <si>
    <t>BB 1/27/2010: 0.001" est; The CTE effect is ~20x weaker than the index of refraction change with temperature of 7mas</t>
  </si>
  <si>
    <t>AR 1/27/2010: 0.002" est; The CTE effect is ~20x weaker than the index of refraction change with temperature of 7mas</t>
  </si>
  <si>
    <t>AR: assume 50% control limit between “hot” and “cold” conditions in Cryostat skin</t>
  </si>
  <si>
    <t>AR: included in correlated errors</t>
  </si>
  <si>
    <t>AR: Assume equivalent to 30% of difference between ambient and operational grid figure</t>
  </si>
  <si>
    <t>AR: Assume 30% efficiency for canceling thermal effects at assembly time</t>
  </si>
  <si>
    <t xml:space="preserve">AE: assume to be equivalent of 50% difference between “hot” and “cold” cryostat boundary conditions </t>
  </si>
  <si>
    <t>JK: Number listed here is WITH hexapod compensation; focal plane Ry (2.27e-6 rad) between nominal &amp; cold. Without hexapod compensation gives 0.012"</t>
  </si>
  <si>
    <t>JK: insensitive to radial decenter</t>
  </si>
  <si>
    <t>JK: Number listed here is with hexapod compensation; focal plane Tz (158um) between nominal and cold. Without hexapod compensation is 1.264"</t>
  </si>
  <si>
    <t>BB 11/18/2009: 0.000; can be negated with precompensation--trefoil precompensation somewhat harder. 0.012"  if no pre-compensation done</t>
  </si>
  <si>
    <t>BB 11/18/2009:  0.003; Document-8266; 25% modeling error</t>
  </si>
  <si>
    <t>BB 11/18/2009:  0.002; Document-8266; 25% modeling error</t>
  </si>
  <si>
    <t>BB 11/18/2009:  0.005; Document-8266; 25% modeling error</t>
  </si>
  <si>
    <t>BB 11/18/2009:  0.000; piston/bending only.  can be negated with precompensation. can be negated with precompensation. 0.075"  if no pre-compensation done</t>
  </si>
  <si>
    <t>BB 11/18/2009:  0.009;  15% modeling error (=340*.15=51 microns)</t>
  </si>
  <si>
    <t>BB 11/18/2009:  0.019;  15% modeling error (=340*.15=51 microns)</t>
  </si>
  <si>
    <t>JK: 10% change in atmospheric pressure; linearly-scale the above results.</t>
  </si>
  <si>
    <t>JK: These numbers are based on a 0.15g vibrataion amplitude at 25 Hz.  This value should be checked.
-The camera was assumed to be a cantilever beam subjected to a uniform gravity load (worst-case, conservative) with the corresponding peak displacement at the L1 first surface. 
-The Lens displacements and rotations were calculated to be:
L1: 5.96 micron, 4.13 micro-rad
L2: 3.93 micron, 4.06 micro-rad
F: 2.41 micron, 3.74 micro-rad
L3: 2.19 micron, 3.65 micro-rad
-These values were then combined with the vibration sensitivity values provided by Brian Bauman (see document "Vibration sensitivity writeup.docx" sent in e-mail dated 4/1/09 to kuj@slac).</t>
  </si>
  <si>
    <t>POC: Assume 0.999995 CTE</t>
  </si>
  <si>
    <t>POC: 0.088" worst case (lambda ~ 11000A) zero in other Spectral Bands. 50*tan(sin-1(sin[18.9 deg]/3.7)). 0 for r-band.</t>
  </si>
  <si>
    <t>VR: 0.136" equivalent FWHM based on 2nd moment of uniform dist.
-Removed from the allocation at Chuck's C. request on 10/07/2009. 
-Requirement is that objects should be covered by 3 pixels or more, which is met.</t>
  </si>
  <si>
    <t>VR: Assume 1% pixel size variation. Removed from allocation at Chuck C's request on 10/07/2009</t>
  </si>
  <si>
    <t>Done 3/6</t>
  </si>
  <si>
    <t>Detector plane decenter due to temp change</t>
  </si>
  <si>
    <t>Detector plane tip/tilt due to temp change</t>
  </si>
  <si>
    <t>Detector plane piston due to temp change</t>
  </si>
  <si>
    <t>Grid long-term stability</t>
  </si>
  <si>
    <t>BB 1/27/2010: L1 distortions, optimized, and resulting error term divided by 4 to model a 25% modeling error.  1/27/2010: 0.006" estimate</t>
  </si>
  <si>
    <t>MN 2/03/2010:  0.020"</t>
  </si>
  <si>
    <t>BB 2/13/2013:  CD-1 number used to be 0.013 but did not used the Gaussian qaudrature.
Delta CoDR number</t>
  </si>
  <si>
    <t>BB 2/13/2013: Components given as information only to indicate sensitivity.
These are co-occurring/correlated  error terms and generally will not rss to yield the total thermal term</t>
  </si>
  <si>
    <t>Description / Explanation</t>
  </si>
  <si>
    <t>VR: 3/5/2011: updated allocation to be consistent with top down camera allocation. Proposed by Pat Hascall and approved by steve Kahn on.
JK 1/13/2010: 2.3W analysis is used for this number; large uncertainty on analysis.
JK 1/13/2010: 0.052"</t>
  </si>
  <si>
    <t>BB 11/18/2009:  0.011; Document-8266; 25% modeling error.
VR: Requires new design so margin should be high</t>
  </si>
  <si>
    <t>Engin. Allocation</t>
  </si>
  <si>
    <t>Lower Level Spec #</t>
  </si>
  <si>
    <r>
      <t>Have a column indicating Name and date things were entered</t>
    </r>
    <r>
      <rPr>
        <b/>
        <sz val="10"/>
        <rFont val="Arial"/>
        <family val="2"/>
      </rPr>
      <t xml:space="preserve"> --&gt; Only show dates and names in "Comments" column, for a running list of changes</t>
    </r>
  </si>
  <si>
    <t>Lower Level Req I.D.</t>
  </si>
  <si>
    <r>
      <t>Have a column indicating the document that flows down this number to implementation specific sub-components (For example LCA-10066 for the 20um raft imaging height)</t>
    </r>
    <r>
      <rPr>
        <b/>
        <sz val="10"/>
        <rFont val="Arial"/>
        <family val="2"/>
      </rPr>
      <t xml:space="preserve"> --&gt;included in "Supporting Analysis documents" column</t>
    </r>
  </si>
  <si>
    <r>
      <t xml:space="preserve">Have a column indicating the document linking the FWHM contribution to the engineering number (how image quality translates to decenter, etc …) 
</t>
    </r>
    <r>
      <rPr>
        <b/>
        <sz val="10"/>
        <rFont val="Arial"/>
        <family val="2"/>
      </rPr>
      <t xml:space="preserve"> --&gt;included in "Supporting Analysis documents" column</t>
    </r>
  </si>
  <si>
    <t>Vibration-induced (all sources)</t>
  </si>
  <si>
    <t>Detector plane pistoning due to cryostat temp changes</t>
  </si>
  <si>
    <t>VR 4/18/2013: 0.5um allocation; 0.133um rms estimated distortion.
MN 4/6/2014: included in RSA flatness allocation</t>
  </si>
  <si>
    <t>Raft Sensor Assembly</t>
  </si>
  <si>
    <t>MN: removed all comments from comments tabs embedded in cells and added them to a single comments column;
MN: re-organized sections to include all Raft Sensor Assembly contributions together, to simplify allocations down to RSA subsystem, then to bin detector plane assembly errors by source (assy, gravity, thermal, vibration); moved RSA errors closer to top;
MN: removed unused columns and compressed others; added columns for tracking the destination of allocations down to subsystems
MN: added column for "Engin Allocation" to show the engineering value corresponding to the FWHM image quality error in arc-sec</t>
  </si>
  <si>
    <t>BB 2/13/2013: components given as information only to indicate sensitivity. These are co-occurring/correlated error terms and generally will not rss to yield the total gravity term</t>
  </si>
  <si>
    <t>Document-16781, Document-16782</t>
  </si>
  <si>
    <t>L1 - S1 radius of curvature tolerance</t>
  </si>
  <si>
    <t>L1 - S2 radius of curvature tolerance</t>
  </si>
  <si>
    <t>L1 - Center thickness tolerance</t>
  </si>
  <si>
    <t>L1 - Transmitted wavefront error</t>
  </si>
  <si>
    <t>L1 - Wedge</t>
  </si>
  <si>
    <t>L1 - Index of homogeneity</t>
  </si>
  <si>
    <t>BB 8/8/2014: 2824 mm CX, ±1 mm RoC</t>
  </si>
  <si>
    <t>BB 8/8/2014: 5021 ±1.5 mm CX</t>
  </si>
  <si>
    <t>BB 8/8/2014: 82.23 mm ±0.1 mm</t>
  </si>
  <si>
    <t>BB 8/8/2014: &lt;0.75μrad rms for spatial periods &gt;28.5mm</t>
  </si>
  <si>
    <t>BB 8/8/2014: Grade C (&lt;2E-6 inhomogeneity)</t>
  </si>
  <si>
    <t>BB 8/8/2014: &lt;10 arcsec (&lt;75 micron TIR)</t>
  </si>
  <si>
    <t>BB 8/8/2014:  plano tolerance</t>
  </si>
  <si>
    <t>BB 8/8/2014:  -2529 mm concave (plus aspheric terms) ±</t>
  </si>
  <si>
    <t>BB 8/8/2014:  30.00 mm ±0.1 mm</t>
  </si>
  <si>
    <t>BB 8/8/2014: &lt;0.75μrad rms for spatial periods &gt;14mm</t>
  </si>
  <si>
    <t>BB 8/8/2014: &lt;10 arcsec (&lt;50 micron TIR)</t>
  </si>
  <si>
    <t>L2 - S1 radius of curvature tolerance</t>
  </si>
  <si>
    <t>L2 - S2 radius of curvature tolerance</t>
  </si>
  <si>
    <t>L2 - Center thickness tolerance</t>
  </si>
  <si>
    <t>L2 - Transmitted wavefront error</t>
  </si>
  <si>
    <t>L2 - Wedge</t>
  </si>
  <si>
    <t>L2 - Index of homogeneity</t>
  </si>
  <si>
    <t>Filter - S1 radius of curvature tolerance</t>
  </si>
  <si>
    <t>Filter - S2 radius of curvature tolerance</t>
  </si>
  <si>
    <t>Filter - Center thickness tolerance</t>
  </si>
  <si>
    <t>Filter - Wedge</t>
  </si>
  <si>
    <t>Filter - Index of homogeneity</t>
  </si>
  <si>
    <t>Document-16780, Document-16782</t>
  </si>
  <si>
    <t>Filter - allowable optical figure as measured in null test setup</t>
  </si>
  <si>
    <t>Filter - null test setup</t>
  </si>
  <si>
    <t>Filter - object position error</t>
  </si>
  <si>
    <t>Filter - reference flat</t>
  </si>
  <si>
    <t>BB 8/13/2014:  5632 mm CX, ±6 mm</t>
  </si>
  <si>
    <t>BB 8/13/2014:  5530/5576/5606/5623/5632/5640 mm, CC ±6 mm</t>
  </si>
  <si>
    <t>BB 8/13/2014:  26.6 / 21.5 / 17.0 / 15.7 / 14.4 / 13.6 mm, ±100 microns</t>
  </si>
  <si>
    <t>BB 8/13/2014:  &lt;20 arcsec (&lt;75 micron TIR)</t>
  </si>
  <si>
    <t>BB 8/13/2014:  Grade C (&lt;2E-6 inhomogeneity)</t>
  </si>
  <si>
    <t>BB 8/13/2014:  &lt;150 nm rms for spatial periods longer than 100mm; &lt;2μrad rms for spatial periods 2-100mm</t>
  </si>
  <si>
    <t>BB 8/13/2014:  Positional tolerances are ±100µ</t>
  </si>
  <si>
    <t>BB 8/13/2014:  Flat quality estimate</t>
  </si>
  <si>
    <t>LCA-10066</t>
  </si>
  <si>
    <t xml:space="preserve">VR 4/18/2013: Alloc: of 18um P-V (mean offset removed); Est: e2v-250 measurement at bnl of 15.3um (95%). </t>
  </si>
  <si>
    <t>VR 4/18/2013: Alloc: 1.5um; Est: 0.43um rms from experience with OGP.</t>
  </si>
  <si>
    <t>VR 4/18/2013: Alloc: 1um; Est: Torque test conducted at BNL of 0.5um in 2012.</t>
  </si>
  <si>
    <t>VR 4/18/2013: Alloc: 1.5um; Est: 0.11um rms from FEA.</t>
  </si>
  <si>
    <t>VR 4/18/2013: allocation of 5um; up to 3um may be seen</t>
  </si>
  <si>
    <t>VR 4/18/2013: Alloc: 6um; Est: 2.5um P-V measured on ECM sensor #409-02.</t>
  </si>
  <si>
    <t>VR 4/18/2013: Alloc: 0.5um</t>
  </si>
  <si>
    <t>VR 4/18/2013: Alloc: 2um P-V</t>
  </si>
  <si>
    <t>VR 4/18/2013: allocation of 1um; guess of 0.5um</t>
  </si>
  <si>
    <t>VR 4/18/2013: Allocation of 1um, guess of 0.5um</t>
  </si>
  <si>
    <t xml:space="preserve">VR 4/18/2013: 1um allocation; 0.2um rms estimate from crude analysis </t>
  </si>
  <si>
    <t>L3 - S1 radius of curvature tolerance</t>
  </si>
  <si>
    <t>L3 - S2 radius of curvature tolerance</t>
  </si>
  <si>
    <t>L3 - Center thickness tolerance</t>
  </si>
  <si>
    <t>L3 - Wedge</t>
  </si>
  <si>
    <t>L3 - Index of homogeneity</t>
  </si>
  <si>
    <t>L3 - allowable optical figure as measured in null test setup</t>
  </si>
  <si>
    <t>L3 - null test setup</t>
  </si>
  <si>
    <t>L3 - object position error</t>
  </si>
  <si>
    <t>L3 - reference flat</t>
  </si>
  <si>
    <t>Document-16779, Document-16782</t>
  </si>
  <si>
    <t>BB 8/13/2014:  3169 mm CX, conic constant=-0.962; ±3 mm RoC</t>
  </si>
  <si>
    <t>BB 8/13/2014:  13360 ±13 mm CX</t>
  </si>
  <si>
    <t>BB 8/13/2014:  60 mm ±80 microns</t>
  </si>
  <si>
    <t>BB 8/13/2014:  &lt;30 arcsec (&lt;100 micron TIR)</t>
  </si>
  <si>
    <t>BB 8/13/2014:  &lt;150 nm rms for spatial periods longer than 40mm; &lt;10μrad rms for spatial periods 1-40mm</t>
  </si>
  <si>
    <t>BB 8/13/2014:  Positional tolerances in null test (50um)</t>
  </si>
  <si>
    <t>VR: integrated IQ numbers for optical fabrication
VR: updated all roll up numbers so that margin can be computed appropriately
VR: added supported document to reflect latest analysis</t>
  </si>
  <si>
    <t>We need to resolve the gravity induced terms that are related to the lookup table residual error:</t>
  </si>
  <si>
    <t>Baseline release of Rev B. Reviewed under LCN-1172.</t>
  </si>
  <si>
    <t>L1-L2 integration</t>
  </si>
  <si>
    <t>in LCA-48</t>
  </si>
  <si>
    <t>Revision C</t>
  </si>
  <si>
    <t>Definition of Camera Best-Fit Optical Axis</t>
  </si>
  <si>
    <t>I&amp;T</t>
  </si>
  <si>
    <t>Knowledge of the L2 optical axis with respect to the Camera Best-Fit Optical Axis</t>
  </si>
  <si>
    <t>LCA-10147 "Assy &amp; Align Tols", Document-11955</t>
  </si>
  <si>
    <t>Error in knowledge of position of L2 optical axis with respect to L1-L2 aligned position</t>
  </si>
  <si>
    <t>Optics</t>
  </si>
  <si>
    <t>Position of the L1 lens with respect to the L2 optical axis</t>
  </si>
  <si>
    <t>Error in positioning of the L1 optical axis with respect to the L2 optical axis</t>
  </si>
  <si>
    <t>Position of the aligned L1-L2 lens pair optical axis with respect to the Camera Best-Fit Optical Axis</t>
  </si>
  <si>
    <t>Placement accuracy and measurement precision of the L1-L2 lens pair optical axis with respect to the Camera Best-Fit Optical Axis during integration and mechanical alignment</t>
  </si>
  <si>
    <t>L1-L2 decenter error as aligned</t>
  </si>
  <si>
    <t>L1-L2 tip/tilt error as aligned</t>
  </si>
  <si>
    <t>L1-L2 piston error as aligned</t>
  </si>
  <si>
    <t>L1 decenter error as-assembled</t>
  </si>
  <si>
    <t>L1 tip/tilt error as-assembled</t>
  </si>
  <si>
    <t>L1 de-space as-assembled</t>
  </si>
  <si>
    <t>L2 decenter error as-assembled</t>
  </si>
  <si>
    <t>L2 tip/tilt error as-assembled</t>
  </si>
  <si>
    <t>L2 piston error as-assembled</t>
  </si>
  <si>
    <t>Filter decenter error as aligned</t>
  </si>
  <si>
    <t>Filter tip/tilt error as aligned</t>
  </si>
  <si>
    <t>Filter piston error as aligned</t>
  </si>
  <si>
    <t>Position of the aligned Filter optical axis with respect to the Camera Best-Fit Optical Axis</t>
  </si>
  <si>
    <t>Placement accuracy and measurement precision of the Filter optical axis with respect to the Camera Best-Fit Optical Axis during integration and mechanical alignment</t>
  </si>
  <si>
    <t>As-installed wedge and piston of the L3 optical axis with respect to the detector plane / Camera Best-Fit Optical Axis</t>
  </si>
  <si>
    <t>Precision with which Camera Best-Fit Optical Axis is defined and known</t>
  </si>
  <si>
    <t>Precision with which Camera Best-Fit Optical Axis is defined and known, based on measurement precision of constituent elements and survey precision</t>
  </si>
  <si>
    <t>Document-7866, p1; LCA-10147 "Assy &amp; Align Tols"</t>
  </si>
  <si>
    <t>LCA-10147 "Assy &amp; Align Tols"</t>
  </si>
  <si>
    <t>Detector plane flatness/profile with respect to the best-fit detector plane</t>
  </si>
  <si>
    <t>Rev. C started to capture updates from LCA-10147 "Assy and Align Tols"; modified assembly and alignment section to agree with LCA-10147 organization, including adding a section for knowledge of camera best-fit optical axis position</t>
  </si>
  <si>
    <t>L1 alignment to L2</t>
  </si>
  <si>
    <t>L2 - Asphere Decenter</t>
  </si>
  <si>
    <t>BB 4/27/2015:  250um allocation to vendor</t>
  </si>
  <si>
    <t>lookup table residual error</t>
  </si>
  <si>
    <t>lookup table residual error from 0 to 90 degrees rotator angle (rss-ed from 30 to 60 degrees pointing)</t>
  </si>
  <si>
    <t>BB 2/13/2013: Delta CoDR analysis numbers. Assumes perfect correction through the hexapod (NO lookup table finite number of entries) and rotator angle of zero (where the lookup table is optimized for)</t>
  </si>
  <si>
    <t>LCA-48</t>
  </si>
  <si>
    <t>C-049</t>
  </si>
  <si>
    <t>LCA-52</t>
  </si>
  <si>
    <t>C-OPT-231
C-OPT-180</t>
  </si>
  <si>
    <t>C-OPT-236
C-OPT-181</t>
  </si>
  <si>
    <t>C-OPT-245
C-OPT-218</t>
  </si>
  <si>
    <t>Camera</t>
  </si>
  <si>
    <t>Filters</t>
  </si>
  <si>
    <t>C-OPT-240
C-OPT-182</t>
  </si>
  <si>
    <t>C-047</t>
  </si>
  <si>
    <t>Science Raft</t>
  </si>
  <si>
    <t>LCA-57</t>
  </si>
  <si>
    <t>C-SRFT-093</t>
  </si>
  <si>
    <t>C-SRFT-024</t>
  </si>
  <si>
    <t>C-SRFT-058
C-SRFT-122</t>
  </si>
  <si>
    <t>C-053</t>
  </si>
  <si>
    <t>LCA-10147</t>
  </si>
  <si>
    <t>Body, optics, I&amp;T</t>
  </si>
  <si>
    <t>Filter Exch/Optics/I&amp;T</t>
  </si>
  <si>
    <t>LCA-49
LCA-52</t>
  </si>
  <si>
    <t>C-EXCH-???
C-OPT-246</t>
  </si>
  <si>
    <t>Cryostat,Optics,I&amp;T</t>
  </si>
  <si>
    <t>C-048</t>
  </si>
  <si>
    <t>Filter Exch/Opt</t>
  </si>
  <si>
    <t>C-EXCH-196
C-OPT-???</t>
  </si>
  <si>
    <t>C-OPT-233</t>
  </si>
  <si>
    <t>C-OPT-238</t>
  </si>
  <si>
    <t>C-OPT-247</t>
  </si>
  <si>
    <t>C-OPT-242</t>
  </si>
  <si>
    <t>C-051</t>
  </si>
  <si>
    <t>C-OPT-234</t>
  </si>
  <si>
    <t>C-OPT-239</t>
  </si>
  <si>
    <t>C-OPT-248</t>
  </si>
  <si>
    <t>C-OPT-243</t>
  </si>
  <si>
    <t>C-EXCH-197
C-OPT-???</t>
  </si>
  <si>
    <t>L1 condensation/dust</t>
  </si>
  <si>
    <t>C-050</t>
  </si>
  <si>
    <t>C-OPT-244</t>
  </si>
  <si>
    <t>C-052</t>
  </si>
  <si>
    <t>L2 location knowledge</t>
  </si>
  <si>
    <t>VR 5/21/2015: 1 mm decenter allocation, 212 um expected  (in LCA-10147). 1mm gives 0"</t>
  </si>
  <si>
    <t>VR 5/21/2015: L3 is the reference and this is captured in the other decenters</t>
  </si>
  <si>
    <t>L3 equivalent decenter error as-installed</t>
  </si>
  <si>
    <t>L3 equivalent tip/tilt error as-installed</t>
  </si>
  <si>
    <t>L3 equivalent piston error as-installed</t>
  </si>
  <si>
    <t>VR 05/21/2015: 100 um despace is 0.034". Allocated 75um, 53 um expected from divot and SMR per BATC vendor (see LCA-10147)</t>
  </si>
  <si>
    <t>VR 05/21/20151: 91 microradians=100 microns TIR is 0.011". Allocated 91urad, 77 urad expected from SMR and adjustment precision (see LCA-10147)</t>
  </si>
  <si>
    <t>K-C ball co-planarity profile tolerance</t>
  </si>
  <si>
    <t>Metrology precision and best-fit plane definition error of K-C ball plane</t>
  </si>
  <si>
    <t>RSA mounting repeatability on K-C balls</t>
  </si>
  <si>
    <t>Metrology precision and best-fit plane definition error of detector plane</t>
  </si>
  <si>
    <t>VR 5/21/2015: 10um p-v allocated, +/- 4um estimated per Grid specifications</t>
  </si>
  <si>
    <t>VR 5/21/2015: 1um p-v allocated, +/-0.3um estimated</t>
  </si>
  <si>
    <t>VR 5/21/2015: 5um p-v allocated, +/-2um estimated</t>
  </si>
  <si>
    <t>Spread/variability of K-C balls wrt best-fit interface plane</t>
  </si>
  <si>
    <t>Measurement precision of metrology system and imprecision of best-fit plane definition</t>
  </si>
  <si>
    <t>Placement error of RSA due to friction and surface finish causing sticking of vee-blocks on balls</t>
  </si>
  <si>
    <t>Measurement precision of detector metrology system and imprecision of best-fit plane definition</t>
  </si>
  <si>
    <t>Filter distortion due to influence of filter frame and thermal gradients</t>
  </si>
  <si>
    <t>Filter temperature gradient (dn/dT effect)</t>
  </si>
  <si>
    <t>BB 5/28/2015:  30 micron P-V sag (power) created at low temperatures due to frame influence onfilter drives the effect.  CTE of fused silica has negligible effect compared to dn/dT</t>
  </si>
  <si>
    <t xml:space="preserve">BB 5/28/2015:  modeled with 35 micron P-V trefoil on filter </t>
  </si>
  <si>
    <t>BB: 5/28/2015: spec is &lt;λ/3 P-V, modeled as (uncorrectable) trefoil</t>
  </si>
  <si>
    <t>VR 05/21/20151: 64 microradians=100 microns TIR is 0.017". Allocated 128 urad, 115 urad expected from BATC vendor  (see LCA-10147)</t>
  </si>
  <si>
    <t>VR 8/8/2011: 150 um decenter equivalent to 0.003". 150um allocated, 101 um estimated in LCA-10147</t>
  </si>
  <si>
    <t>VR 5/21/2015: 133 microradians=100 microns TIR, 100urad is 0.0003" after hexapod compensation (0.0015" not compensated). Allocation in LCA-10147 is 1000urad, expected is 434 urad.</t>
  </si>
  <si>
    <t>VR 5/21/2015: 100 um piston is 0.0018" after hexapod compensation (0.0032" uncompensated). Allocation is 300um, expected is 228 um  in LCA-10147.</t>
  </si>
  <si>
    <t>VR 05/21/2015: 100 um decenter is 0.014". Allocated 175um, 154 um expected from BATC vendor  (see LCA-10147)</t>
  </si>
  <si>
    <t>VR 05/21/2015: 100 um despace is 0.011". Allocated 175um, 154 um expected from BATC vendor  (see LCA-10147)</t>
  </si>
  <si>
    <t>VR 05/21/2015: 100 um decenter is 0.015". Allocated 75um, 53 um expected from divot and SMR per BATC vendor (see LCA-10147)</t>
  </si>
  <si>
    <t>VR 05/21/20151: 91 microradians=100 microns TIR is 0.035". Allocated 73urad, 48 urad expected from divot and SMR per BATC vendor (see LCA-10147)</t>
  </si>
  <si>
    <t>VR 05/21/2015: 100 um decenter is 0.002". Allocated 80um, 61 um expected from SMR and adjustment precision (see LCA-10147)</t>
  </si>
  <si>
    <t>VR 05/21/2015: 100 um despace is 0.027". Allocated 80 um, 61 um expected from SMR and adjustment precision (see LCA-10147)</t>
  </si>
  <si>
    <t>Released per LCN-1356</t>
  </si>
  <si>
    <t>Kirk Gilmore, Andy Rasmussen, John Ku, Vincent Riot</t>
  </si>
  <si>
    <t>VR 1/22/2016: 145 microradians=100 microns TIR and is 0.007". 145urad allocated, 131 urad expected in LCA-10147-B</t>
  </si>
  <si>
    <t>VR 1/22/2016: 100 um piston is 0.025". 100um allocated,84um expected  in LCA-10147-B</t>
  </si>
  <si>
    <t>VR 1/22/2016: 145 microradians=100 microns TIR and is 0.007". 145 urad allocated, 115 urad expected (in LCA-10147-B)</t>
  </si>
  <si>
    <t>VR 1/22/2016: 100 um piston is 0.025". 100um allocated, 80um expected  in LCA-10147-B</t>
  </si>
  <si>
    <t>Revision D</t>
  </si>
  <si>
    <t>Made consistent with LCA-10147 rev B per TSESO vendor L3 proposed requirements updates of AMR at 35um, L3 piston of 50um and L3 tip-tilt of 90urad. Line 104, 105, 109 and 110 were updated</t>
  </si>
  <si>
    <t>Updated note to make line 116 consitent with LCA-10147 change</t>
  </si>
  <si>
    <t>VR 2/1/2016: 3um p-v allocated, +/-1um estimated</t>
  </si>
  <si>
    <t>Released per LCN-1515</t>
  </si>
  <si>
    <t>Built</t>
  </si>
  <si>
    <t>Estimate Contribution Comments</t>
  </si>
  <si>
    <t>Supporting Estimate Analysis Documents</t>
  </si>
  <si>
    <t>As-Built Contribution Comments</t>
  </si>
  <si>
    <t>copied from estimate until as built number are available</t>
  </si>
  <si>
    <t>Est. Margin</t>
  </si>
  <si>
    <t>Built. Margin</t>
  </si>
  <si>
    <t>VR: CTE is larger than 0.999995 but contribution is still listed as minimal for now</t>
  </si>
  <si>
    <t>Copied from estimate (no measurement available)</t>
  </si>
  <si>
    <t>Set to zero here as it is included in the raft measurement</t>
  </si>
  <si>
    <t xml:space="preserve">JW 6/1/2018: 2824.762 ± 0.085 </t>
  </si>
  <si>
    <t xml:space="preserve">JW 6/1/2018: 5021.130 ± 0.197 </t>
  </si>
  <si>
    <t xml:space="preserve">JW 6/1/2018: 82.310 mm </t>
  </si>
  <si>
    <t>JW 6/1/2018: 7.9 ± 0.5 arcsec</t>
  </si>
  <si>
    <t>JW 6/1/2018: Compliant</t>
  </si>
  <si>
    <t>JW 6/1/2018: 10.1 ± 3.3 fringes of power  (concave)</t>
  </si>
  <si>
    <t>JW 6/1/2018: 2529.1 mm ± 0.4  (7 fringes convex)</t>
  </si>
  <si>
    <t>JW 6/1/2018: 67 um</t>
  </si>
  <si>
    <t>JW 6/1/2018: 30.05mm ± 0.03mm</t>
  </si>
  <si>
    <t>JW 6/1/2018: 0 ± 4 arcsec</t>
  </si>
  <si>
    <t>- Methodology described in memo entitled "camera Image quality Analysis - Memo 20090715, GQ assumptions.doc" that can be found in the archive at Document-8209. (Current analysis is not fully done with this methodology. See Methodology column for detailed information)
- FWHM conversion computation described in memo "fwhm_definition_memo.pdf" that can be found in the archive at Document-8199
- Conversion from um to Arcsec is using the LSST platescale of 50.9um/arcsecond</t>
  </si>
  <si>
    <t>CS 4/18/2013: Alloc: equiv to 5um charge diffusion; Est: 4um mean charge diffusion measured  on e2v 250 CCD at BNL.</t>
  </si>
  <si>
    <t>JW correct material used</t>
  </si>
  <si>
    <t>JW 1/11/2019: r-band as built is 5633</t>
  </si>
  <si>
    <t>JW 1/11/2019: r-band as built is 5605</t>
  </si>
  <si>
    <t>JW 1/11/2019: r-band as built is 17.87</t>
  </si>
  <si>
    <t>JW 1/11/2019: Filter met low requency and most of MF requirements. Assume full allotment for WFE.</t>
  </si>
  <si>
    <t>JW 1/11/2019: r-band as built is 37um TIR (10")</t>
  </si>
  <si>
    <t>JW 1/11/2019: L3 as built is 3167.5</t>
  </si>
  <si>
    <t>JW 1/11/2019: L3 as built is 13363.1</t>
  </si>
  <si>
    <t>JW 1/11/2019: L3 as built is 60.08</t>
  </si>
  <si>
    <t>JW 1/11/2019:  L3 as-built is 9.3 arc sec</t>
  </si>
  <si>
    <t>JW 1/11/2019: L3 as built is Compliant (correct material used)</t>
  </si>
  <si>
    <t>JW 1/11/2019: L3 as-built is 37nm,4nm</t>
  </si>
  <si>
    <t>JW 1/11/2019: same as estimate</t>
  </si>
  <si>
    <t>Revision E</t>
  </si>
  <si>
    <t>Added as-built columns to capture as-built values for error contributions. Added "As-Built Contributions Comments" column to capture explanations for sources of as-built values. Added as-built values for optics fabrication. Note that as-built values are not configuration controlled, so these columns are not subject to change control</t>
  </si>
  <si>
    <t>Added as-built values to errors associated with as-built optical fabrication entries for L3 and filter optics</t>
  </si>
  <si>
    <t>Filter gravity-induced flexure and distortion (non-correlated)</t>
  </si>
  <si>
    <t>Filter non-corrected tip/tilt due to auto changer thermal distortions</t>
  </si>
  <si>
    <t>Filter non-corrected decenter due to auto changer thermal distortions</t>
  </si>
  <si>
    <t>Filter non-corrected piston due to auto changer thermal distortions</t>
  </si>
  <si>
    <t>LCA-49</t>
  </si>
  <si>
    <t>C-EXCH-196</t>
  </si>
  <si>
    <t>C-EXCH-197</t>
  </si>
  <si>
    <t>MN 4/8/2019 (LCN-2393): (0.120 mm req) * (0.00803 arc-sec/mm) = .00096 arc-sec req.
Lookup table residual error from 0 to 90 degrees rotator angle (rss-ed from 30 to 60 degrees pointing)</t>
  </si>
  <si>
    <t>MN 4/8/2019 (LCN-2393): (0.045 mrad req) * (0.003251 arc-sec/arc-min) = .0005 arc-sec req.
Lookup table residual error from 0 to 90 degrees rotator angle (rss-ed from 30 to 60 degrees pointing)</t>
  </si>
  <si>
    <t>MN 4/8/2019 (LCN-2393): (0.050 mm req) * (0.00803 arc-sec/mm) = .0004 arc-sec req.</t>
  </si>
  <si>
    <t>MN 4/8/2019 (LCN-2393): (0.050 mm req) * (0.028474 arc-sec/mm) = .0014 arc-sec req.</t>
  </si>
  <si>
    <t>MN 4/8/2019 (LCN-2393): (0.100 mrad req) * (0.003251 arc-sec/arc-min) = .001 arc-sec req.</t>
  </si>
  <si>
    <t>MN 4/8/2019 (LCN-2393): (0.075 mm req) * (0.028474 arc-sec/mm) = .0021 arc-sec req.
Lookup table residual error from 0 to 90 degrees rotator angle (rss-ed from 30 to 60 degrees pointing)</t>
  </si>
  <si>
    <t>Added filter uncorrelated thermally-induced motion allocations and added values consistent with Auto Changer final hardware design. These had been missing. Modified filter uncorrelated gravity-induce motion allocations to reflect Auto Changer final hardware design. Changes and additions had no impact to filter or higher-level allocations.</t>
  </si>
  <si>
    <t>Released per LCN-2393</t>
  </si>
  <si>
    <t>VR: 6/27/2019 measurement at PV on all accepted raft is 27um (worst case no correction with ball size) and 22um if some correction is applied. As-Built value and Margin is computed across all raft flatness (Sensors + Raft asembly). This is also consistent with the no-shimming approach (standard ball) used analysis from Rassumussen 6/25/2019 estimating 26.8um at 99%</t>
  </si>
  <si>
    <t>LCA-00017-F</t>
  </si>
  <si>
    <t>DRAFT SOURCE for Rev F</t>
  </si>
  <si>
    <t>Revision F</t>
  </si>
  <si>
    <t>Updated Raft flatness numeber to reflect Andy Rasmussen's analysis when using standard ball's only, and data captured on all raft acceptance data.</t>
  </si>
  <si>
    <t>VR: 6/28/2019: mean of non defective pixels accepted to date is 4.2713um. Maximum is 4.92um. Measurement at SLAC shows a higher number of 4.4124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</si>
</sst>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mm/dd/yy"/>
    <numFmt numFmtId="165" formatCode="0.000"/>
    <numFmt numFmtId="166" formatCode="0.0%"/>
    <numFmt numFmtId="167" formatCode="mmmm\ yyyy"/>
    <numFmt numFmtId="168" formatCode="_(\$* #,##0.00_);_(\$* \(#,##0.00\);_(\$* \-??_);_(@_)"/>
    <numFmt numFmtId="169" formatCode="d\-mmm\-yyyy"/>
    <numFmt numFmtId="170" formatCode="0.0000"/>
  </numFmts>
  <fonts count="30">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2"/>
      <name val="Arial"/>
      <family val="2"/>
    </font>
    <font>
      <b/>
      <sz val="12"/>
      <name val="Arial"/>
      <family val="2"/>
    </font>
    <font>
      <b/>
      <sz val="10"/>
      <name val="Arial"/>
      <family val="2"/>
    </font>
    <font>
      <sz val="10"/>
      <name val="Times New Roman"/>
      <family val="1"/>
    </font>
    <font>
      <u/>
      <sz val="10"/>
      <name val="Arial"/>
      <family val="2"/>
    </font>
    <font>
      <sz val="10"/>
      <name val="Arial"/>
      <family val="2"/>
    </font>
    <font>
      <b/>
      <u/>
      <sz val="14"/>
      <name val="Arial"/>
      <family val="2"/>
    </font>
    <font>
      <b/>
      <u/>
      <sz val="10"/>
      <name val="Arial"/>
      <family val="2"/>
    </font>
    <font>
      <sz val="10"/>
      <name val="Calibri"/>
      <family val="2"/>
      <scheme val="minor"/>
    </font>
    <font>
      <i/>
      <sz val="8"/>
      <name val="Arial"/>
      <family val="2"/>
    </font>
    <font>
      <sz val="10"/>
      <name val="Lohit Hindi"/>
      <family val="2"/>
    </font>
    <font>
      <sz val="10"/>
      <color rgb="FFFF0000"/>
      <name val="Arial"/>
      <family val="2"/>
    </font>
  </fonts>
  <fills count="3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7"/>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7" tint="0.39997558519241921"/>
        <bgColor indexed="41"/>
      </patternFill>
    </fill>
    <fill>
      <patternFill patternType="solid">
        <fgColor theme="3" tint="0.79998168889431442"/>
        <bgColor indexed="64"/>
      </patternFill>
    </fill>
    <fill>
      <patternFill patternType="solid">
        <fgColor theme="3" tint="0.79998168889431442"/>
        <bgColor indexed="41"/>
      </patternFill>
    </fill>
    <fill>
      <patternFill patternType="solid">
        <fgColor theme="7" tint="0.59999389629810485"/>
        <bgColor indexed="64"/>
      </patternFill>
    </fill>
    <fill>
      <patternFill patternType="solid">
        <fgColor theme="7" tint="0.59999389629810485"/>
        <bgColor indexed="41"/>
      </patternFill>
    </fill>
    <fill>
      <patternFill patternType="solid">
        <fgColor theme="0" tint="-0.249977111117893"/>
        <bgColor indexed="41"/>
      </patternFill>
    </fill>
    <fill>
      <patternFill patternType="solid">
        <fgColor rgb="FFFFFF00"/>
        <bgColor indexed="64"/>
      </patternFill>
    </fill>
    <fill>
      <patternFill patternType="solid">
        <fgColor theme="6" tint="0.59999389629810485"/>
        <bgColor indexed="64"/>
      </patternFill>
    </fill>
    <fill>
      <patternFill patternType="solid">
        <fgColor theme="3" tint="0.59999389629810485"/>
        <bgColor indexed="47"/>
      </patternFill>
    </fill>
    <fill>
      <patternFill patternType="solid">
        <fgColor theme="7" tint="0.59999389629810485"/>
        <bgColor indexed="36"/>
      </patternFill>
    </fill>
    <fill>
      <patternFill patternType="solid">
        <fgColor theme="5" tint="0.39997558519241921"/>
        <bgColor indexed="27"/>
      </patternFill>
    </fill>
    <fill>
      <patternFill patternType="solid">
        <fgColor theme="6" tint="0.39997558519241921"/>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top style="thin">
        <color indexed="8"/>
      </top>
      <bottom style="thin">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style="thick">
        <color indexed="8"/>
      </right>
      <top/>
      <bottom/>
      <diagonal/>
    </border>
    <border>
      <left style="medium">
        <color indexed="8"/>
      </left>
      <right/>
      <top style="medium">
        <color indexed="8"/>
      </top>
      <bottom/>
      <diagonal/>
    </border>
    <border>
      <left style="medium">
        <color indexed="8"/>
      </left>
      <right/>
      <top/>
      <bottom/>
      <diagonal/>
    </border>
    <border>
      <left style="medium">
        <color indexed="8"/>
      </left>
      <right/>
      <top/>
      <bottom style="medium">
        <color indexed="8"/>
      </bottom>
      <diagonal/>
    </border>
    <border>
      <left/>
      <right style="thick">
        <color indexed="8"/>
      </right>
      <top style="medium">
        <color indexed="8"/>
      </top>
      <bottom/>
      <diagonal/>
    </border>
    <border>
      <left/>
      <right style="thick">
        <color indexed="8"/>
      </right>
      <top style="medium">
        <color indexed="8"/>
      </top>
      <bottom style="medium">
        <color indexed="8"/>
      </bottom>
      <diagonal/>
    </border>
    <border>
      <left/>
      <right/>
      <top style="medium">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style="thin">
        <color indexed="8"/>
      </left>
      <right/>
      <top style="thin">
        <color indexed="8"/>
      </top>
      <bottom style="thin">
        <color indexed="8"/>
      </bottom>
      <diagonal/>
    </border>
    <border>
      <left/>
      <right style="medium">
        <color indexed="64"/>
      </right>
      <top style="medium">
        <color indexed="8"/>
      </top>
      <bottom style="medium">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8"/>
      </right>
      <top/>
      <bottom style="thin">
        <color indexed="8"/>
      </bottom>
      <diagonal/>
    </border>
    <border>
      <left/>
      <right/>
      <top/>
      <bottom style="thin">
        <color indexed="64"/>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style="medium">
        <color indexed="64"/>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8"/>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bottom style="thin">
        <color indexed="64"/>
      </bottom>
      <diagonal/>
    </border>
    <border>
      <left/>
      <right style="medium">
        <color indexed="8"/>
      </right>
      <top style="medium">
        <color indexed="8"/>
      </top>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23"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0" fontId="23" fillId="0" borderId="0"/>
    <xf numFmtId="168" fontId="1" fillId="0" borderId="0"/>
    <xf numFmtId="0" fontId="28" fillId="0" borderId="0"/>
  </cellStyleXfs>
  <cellXfs count="391">
    <xf numFmtId="0" fontId="0" fillId="0" borderId="0" xfId="0"/>
    <xf numFmtId="0" fontId="0" fillId="0" borderId="0" xfId="0" applyBorder="1"/>
    <xf numFmtId="0" fontId="0" fillId="0" borderId="40" xfId="0" applyBorder="1"/>
    <xf numFmtId="0" fontId="23" fillId="0" borderId="0" xfId="42"/>
    <xf numFmtId="0" fontId="23" fillId="0" borderId="0" xfId="42" applyBorder="1"/>
    <xf numFmtId="15" fontId="23" fillId="0" borderId="0" xfId="42" applyNumberFormat="1" applyFill="1" applyBorder="1" applyAlignment="1">
      <alignment horizontal="center" vertical="top"/>
    </xf>
    <xf numFmtId="0" fontId="23" fillId="0" borderId="0" xfId="42" applyFill="1" applyBorder="1" applyAlignment="1">
      <alignment horizontal="center" vertical="top"/>
    </xf>
    <xf numFmtId="0" fontId="23" fillId="0" borderId="0" xfId="42" applyFill="1" applyBorder="1" applyAlignment="1">
      <alignment vertical="top" wrapText="1"/>
    </xf>
    <xf numFmtId="0" fontId="25" fillId="0" borderId="0" xfId="42" applyFont="1" applyFill="1" applyBorder="1" applyAlignment="1">
      <alignment horizontal="left" vertical="top"/>
    </xf>
    <xf numFmtId="0" fontId="25" fillId="0" borderId="0" xfId="42" applyFont="1" applyBorder="1" applyAlignment="1">
      <alignment horizontal="left" vertical="top"/>
    </xf>
    <xf numFmtId="0" fontId="23" fillId="0" borderId="0" xfId="42" applyBorder="1" applyAlignment="1">
      <alignment horizontal="left" vertical="top" wrapText="1"/>
    </xf>
    <xf numFmtId="0" fontId="23" fillId="0" borderId="0" xfId="42" applyBorder="1" applyAlignment="1">
      <alignment horizontal="left" vertical="top"/>
    </xf>
    <xf numFmtId="15" fontId="23" fillId="35" borderId="33" xfId="42" applyNumberFormat="1" applyFill="1" applyBorder="1" applyAlignment="1">
      <alignment horizontal="center" vertical="top"/>
    </xf>
    <xf numFmtId="0" fontId="0" fillId="0" borderId="52" xfId="0" applyBorder="1"/>
    <xf numFmtId="0" fontId="0" fillId="0" borderId="50" xfId="0" applyBorder="1"/>
    <xf numFmtId="0" fontId="27" fillId="0" borderId="34" xfId="0" applyFont="1" applyBorder="1"/>
    <xf numFmtId="0" fontId="0" fillId="0" borderId="47" xfId="0" applyBorder="1"/>
    <xf numFmtId="0" fontId="0" fillId="0" borderId="53" xfId="0" applyBorder="1"/>
    <xf numFmtId="0" fontId="19" fillId="0" borderId="54" xfId="0" applyFont="1" applyBorder="1" applyAlignment="1">
      <alignment horizontal="left" indent="1"/>
    </xf>
    <xf numFmtId="0" fontId="27" fillId="0" borderId="47" xfId="0" applyFont="1" applyBorder="1"/>
    <xf numFmtId="0" fontId="0" fillId="0" borderId="47" xfId="0" applyBorder="1" applyAlignment="1">
      <alignment horizontal="left" indent="1"/>
    </xf>
    <xf numFmtId="0" fontId="0" fillId="0" borderId="54" xfId="0" applyBorder="1" applyAlignment="1">
      <alignment horizontal="left" indent="1"/>
    </xf>
    <xf numFmtId="0" fontId="0" fillId="0" borderId="48" xfId="0" applyBorder="1"/>
    <xf numFmtId="0" fontId="19" fillId="0" borderId="40" xfId="0" applyFont="1" applyBorder="1" applyAlignment="1">
      <alignment horizontal="right"/>
    </xf>
    <xf numFmtId="167" fontId="19" fillId="0" borderId="48" xfId="0" applyNumberFormat="1" applyFont="1" applyBorder="1" applyAlignment="1">
      <alignment horizontal="left"/>
    </xf>
    <xf numFmtId="169" fontId="23" fillId="0" borderId="33" xfId="42" applyNumberFormat="1" applyFill="1" applyBorder="1" applyAlignment="1">
      <alignment horizontal="center" vertical="center"/>
    </xf>
    <xf numFmtId="169" fontId="23" fillId="34" borderId="33" xfId="42" applyNumberFormat="1" applyFill="1" applyBorder="1" applyAlignment="1">
      <alignment horizontal="center" vertical="center"/>
    </xf>
    <xf numFmtId="0" fontId="0" fillId="0" borderId="0" xfId="0" applyFont="1" applyFill="1" applyAlignment="1">
      <alignmen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21" fillId="0" borderId="0" xfId="0" applyFont="1" applyBorder="1" applyAlignment="1">
      <alignment vertical="center"/>
    </xf>
    <xf numFmtId="165" fontId="0" fillId="0" borderId="0" xfId="0" applyNumberFormat="1" applyFont="1" applyFill="1" applyBorder="1" applyAlignment="1">
      <alignment vertical="center"/>
    </xf>
    <xf numFmtId="0" fontId="0" fillId="0" borderId="0" xfId="0" applyFont="1" applyFill="1" applyBorder="1" applyAlignment="1">
      <alignment vertical="center"/>
    </xf>
    <xf numFmtId="166" fontId="0" fillId="0" borderId="0" xfId="0" applyNumberFormat="1" applyFont="1" applyFill="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0" applyFont="1" applyBorder="1" applyAlignment="1">
      <alignment vertical="center" wrapText="1"/>
    </xf>
    <xf numFmtId="0" fontId="0" fillId="0" borderId="0" xfId="0" applyFont="1" applyAlignment="1">
      <alignment horizontal="left" vertical="center"/>
    </xf>
    <xf numFmtId="0" fontId="0" fillId="0" borderId="0" xfId="0" applyFont="1" applyAlignment="1">
      <alignment vertical="center"/>
    </xf>
    <xf numFmtId="0" fontId="20" fillId="0" borderId="0" xfId="0" applyFont="1" applyAlignment="1">
      <alignment vertical="center"/>
    </xf>
    <xf numFmtId="165" fontId="20" fillId="4" borderId="16" xfId="0" applyNumberFormat="1" applyFont="1" applyFill="1" applyBorder="1" applyAlignment="1">
      <alignment horizontal="center" vertical="center"/>
    </xf>
    <xf numFmtId="165" fontId="20" fillId="7" borderId="17" xfId="0" applyNumberFormat="1" applyFont="1" applyFill="1" applyBorder="1" applyAlignment="1">
      <alignment horizontal="center" vertical="center"/>
    </xf>
    <xf numFmtId="166" fontId="0" fillId="28" borderId="33" xfId="0" applyNumberFormat="1" applyFont="1" applyFill="1" applyBorder="1" applyAlignment="1">
      <alignmen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0" fillId="8" borderId="0" xfId="0" applyFont="1" applyFill="1" applyBorder="1" applyAlignment="1">
      <alignment horizontal="left" vertical="center"/>
    </xf>
    <xf numFmtId="165" fontId="0" fillId="4" borderId="16" xfId="0" applyNumberFormat="1" applyFont="1" applyFill="1" applyBorder="1" applyAlignment="1">
      <alignment vertical="center"/>
    </xf>
    <xf numFmtId="165" fontId="0" fillId="7" borderId="17" xfId="0" applyNumberFormat="1" applyFont="1" applyFill="1" applyBorder="1" applyAlignment="1">
      <alignment vertical="center"/>
    </xf>
    <xf numFmtId="0" fontId="0" fillId="0" borderId="0" xfId="0" applyFont="1" applyFill="1" applyBorder="1" applyAlignment="1">
      <alignment horizontal="left" vertical="center"/>
    </xf>
    <xf numFmtId="165" fontId="0" fillId="0" borderId="0" xfId="0" applyNumberFormat="1" applyFont="1" applyAlignment="1">
      <alignment vertical="center"/>
    </xf>
    <xf numFmtId="0" fontId="20" fillId="36" borderId="0" xfId="0" applyFont="1" applyFill="1" applyBorder="1" applyAlignment="1">
      <alignment horizontal="left" vertical="center"/>
    </xf>
    <xf numFmtId="0" fontId="20" fillId="0" borderId="0" xfId="0" applyFont="1" applyFill="1" applyBorder="1" applyAlignment="1">
      <alignment vertical="center"/>
    </xf>
    <xf numFmtId="0" fontId="0" fillId="0" borderId="20" xfId="0" applyFont="1" applyFill="1" applyBorder="1" applyAlignment="1">
      <alignment horizontal="left" vertical="center"/>
    </xf>
    <xf numFmtId="166" fontId="0" fillId="0" borderId="33" xfId="0" applyNumberFormat="1" applyFont="1" applyFill="1" applyBorder="1" applyAlignment="1">
      <alignment vertical="center"/>
    </xf>
    <xf numFmtId="0" fontId="0" fillId="0" borderId="32" xfId="0" applyFont="1" applyFill="1" applyBorder="1" applyAlignment="1">
      <alignment horizontal="left" vertical="center" wrapText="1"/>
    </xf>
    <xf numFmtId="0" fontId="0" fillId="0" borderId="18" xfId="0" applyFont="1" applyFill="1" applyBorder="1" applyAlignment="1">
      <alignment vertical="center" wrapText="1"/>
    </xf>
    <xf numFmtId="0" fontId="0" fillId="0" borderId="18" xfId="0" applyFont="1" applyFill="1" applyBorder="1" applyAlignment="1">
      <alignmen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20" xfId="0" applyFill="1" applyBorder="1" applyAlignment="1">
      <alignment horizontal="left" vertical="center"/>
    </xf>
    <xf numFmtId="0" fontId="0" fillId="0" borderId="21" xfId="0" applyFont="1" applyBorder="1" applyAlignment="1">
      <alignment vertical="center"/>
    </xf>
    <xf numFmtId="0" fontId="0" fillId="0" borderId="32" xfId="0" applyBorder="1" applyAlignment="1">
      <alignment horizontal="left" vertical="center" wrapText="1"/>
    </xf>
    <xf numFmtId="0" fontId="0" fillId="0" borderId="18" xfId="0" applyBorder="1" applyAlignment="1">
      <alignment vertical="center"/>
    </xf>
    <xf numFmtId="165" fontId="0" fillId="0" borderId="0" xfId="0" applyNumberFormat="1" applyAlignment="1">
      <alignment vertical="center"/>
    </xf>
    <xf numFmtId="0" fontId="0" fillId="0" borderId="22" xfId="0" applyFont="1" applyBorder="1" applyAlignment="1">
      <alignment vertical="center"/>
    </xf>
    <xf numFmtId="166" fontId="0" fillId="0" borderId="34" xfId="0" applyNumberFormat="1" applyFont="1" applyFill="1" applyBorder="1" applyAlignment="1">
      <alignment vertical="center"/>
    </xf>
    <xf numFmtId="0" fontId="0" fillId="0" borderId="28" xfId="0" applyBorder="1" applyAlignment="1">
      <alignment vertical="center"/>
    </xf>
    <xf numFmtId="0" fontId="0" fillId="0" borderId="28" xfId="0" applyFont="1" applyBorder="1" applyAlignment="1">
      <alignment horizontal="left" vertical="center"/>
    </xf>
    <xf numFmtId="0" fontId="0" fillId="0" borderId="28" xfId="0" applyFont="1" applyBorder="1" applyAlignment="1">
      <alignment vertical="center"/>
    </xf>
    <xf numFmtId="0" fontId="0" fillId="0" borderId="23" xfId="0" applyFont="1" applyBorder="1" applyAlignment="1">
      <alignment vertical="center"/>
    </xf>
    <xf numFmtId="166" fontId="0" fillId="0" borderId="38" xfId="0" applyNumberFormat="1" applyFont="1" applyFill="1" applyBorder="1" applyAlignment="1">
      <alignment vertical="center"/>
    </xf>
    <xf numFmtId="0" fontId="0" fillId="0" borderId="38" xfId="0" applyBorder="1" applyAlignment="1">
      <alignment horizontal="left" vertical="center" wrapText="1"/>
    </xf>
    <xf numFmtId="0" fontId="0" fillId="0" borderId="38" xfId="0" applyBorder="1" applyAlignment="1">
      <alignment vertical="center"/>
    </xf>
    <xf numFmtId="0" fontId="0" fillId="0" borderId="38" xfId="0" applyFont="1" applyBorder="1" applyAlignment="1">
      <alignment horizontal="left" vertical="center"/>
    </xf>
    <xf numFmtId="0" fontId="0" fillId="0" borderId="38" xfId="0" applyFont="1" applyBorder="1" applyAlignment="1">
      <alignment vertical="center"/>
    </xf>
    <xf numFmtId="0" fontId="0" fillId="0" borderId="38" xfId="0" applyFont="1" applyFill="1" applyBorder="1" applyAlignment="1">
      <alignment vertical="center"/>
    </xf>
    <xf numFmtId="166" fontId="0" fillId="0" borderId="36" xfId="0" applyNumberFormat="1" applyFont="1" applyFill="1" applyBorder="1" applyAlignment="1">
      <alignment vertical="center"/>
    </xf>
    <xf numFmtId="0" fontId="0" fillId="0" borderId="27" xfId="0" applyBorder="1" applyAlignment="1">
      <alignment vertical="center"/>
    </xf>
    <xf numFmtId="0" fontId="0" fillId="0" borderId="27" xfId="0" applyFont="1" applyBorder="1" applyAlignment="1">
      <alignment horizontal="left" vertical="center"/>
    </xf>
    <xf numFmtId="0" fontId="0" fillId="0" borderId="38" xfId="0" applyFill="1" applyBorder="1" applyAlignment="1">
      <alignment vertical="center"/>
    </xf>
    <xf numFmtId="0" fontId="0" fillId="0" borderId="38" xfId="0" applyFill="1" applyBorder="1" applyAlignment="1">
      <alignment horizontal="left" vertical="center" wrapText="1"/>
    </xf>
    <xf numFmtId="166" fontId="0" fillId="30" borderId="36" xfId="0" applyNumberFormat="1" applyFont="1" applyFill="1" applyBorder="1" applyAlignment="1">
      <alignment vertical="center"/>
    </xf>
    <xf numFmtId="0" fontId="20" fillId="30" borderId="39" xfId="0" applyFont="1" applyFill="1" applyBorder="1" applyAlignment="1">
      <alignment horizontal="left" vertical="center" wrapText="1"/>
    </xf>
    <xf numFmtId="0" fontId="20" fillId="30" borderId="27" xfId="0" applyFont="1" applyFill="1" applyBorder="1" applyAlignment="1">
      <alignment vertical="center" wrapText="1"/>
    </xf>
    <xf numFmtId="0" fontId="0" fillId="30" borderId="27" xfId="0" applyFont="1" applyFill="1" applyBorder="1" applyAlignment="1">
      <alignment horizontal="left" vertical="center"/>
    </xf>
    <xf numFmtId="0" fontId="0" fillId="30" borderId="27" xfId="0" applyFill="1" applyBorder="1" applyAlignment="1">
      <alignment vertical="center"/>
    </xf>
    <xf numFmtId="0" fontId="0" fillId="31" borderId="27" xfId="0" applyFill="1" applyBorder="1" applyAlignment="1">
      <alignment vertical="center"/>
    </xf>
    <xf numFmtId="0" fontId="0" fillId="0" borderId="24" xfId="0" applyFont="1" applyFill="1" applyBorder="1" applyAlignment="1">
      <alignment vertical="center"/>
    </xf>
    <xf numFmtId="0" fontId="0" fillId="0" borderId="20" xfId="0" applyFont="1" applyFill="1" applyBorder="1" applyAlignment="1">
      <alignment vertical="center"/>
    </xf>
    <xf numFmtId="0" fontId="0" fillId="0" borderId="39" xfId="0" applyFont="1" applyFill="1" applyBorder="1" applyAlignment="1">
      <alignment horizontal="left" vertical="center" wrapText="1"/>
    </xf>
    <xf numFmtId="0" fontId="0" fillId="0" borderId="27" xfId="0" applyFont="1" applyFill="1" applyBorder="1" applyAlignment="1">
      <alignment vertical="center" wrapText="1"/>
    </xf>
    <xf numFmtId="0" fontId="0" fillId="0" borderId="27" xfId="0" applyFont="1" applyFill="1" applyBorder="1" applyAlignment="1">
      <alignment vertical="center"/>
    </xf>
    <xf numFmtId="166" fontId="0" fillId="0" borderId="37" xfId="0" applyNumberFormat="1" applyFont="1" applyFill="1" applyBorder="1" applyAlignment="1">
      <alignment vertical="center"/>
    </xf>
    <xf numFmtId="0" fontId="0" fillId="0" borderId="37" xfId="0" applyFill="1" applyBorder="1" applyAlignment="1">
      <alignment horizontal="left" vertical="center" wrapText="1"/>
    </xf>
    <xf numFmtId="0" fontId="0" fillId="0" borderId="37" xfId="0" applyFont="1" applyBorder="1" applyAlignment="1">
      <alignment horizontal="left" vertical="center"/>
    </xf>
    <xf numFmtId="0" fontId="0" fillId="0" borderId="37" xfId="0" applyBorder="1" applyAlignment="1">
      <alignment vertical="center"/>
    </xf>
    <xf numFmtId="0" fontId="0" fillId="0" borderId="37" xfId="0"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left" vertical="center" wrapText="1"/>
    </xf>
    <xf numFmtId="0" fontId="0" fillId="0" borderId="0" xfId="0" applyBorder="1" applyAlignment="1">
      <alignment vertical="center"/>
    </xf>
    <xf numFmtId="165" fontId="0" fillId="0" borderId="0" xfId="0" applyNumberFormat="1" applyBorder="1" applyAlignment="1">
      <alignment vertical="center"/>
    </xf>
    <xf numFmtId="166" fontId="0" fillId="0" borderId="40" xfId="0" applyNumberFormat="1" applyFont="1" applyFill="1" applyBorder="1" applyAlignment="1">
      <alignment vertical="center"/>
    </xf>
    <xf numFmtId="0" fontId="0" fillId="0" borderId="18" xfId="0" applyFont="1" applyFill="1" applyBorder="1" applyAlignment="1">
      <alignment horizontal="left" vertical="center"/>
    </xf>
    <xf numFmtId="0" fontId="0" fillId="0" borderId="43" xfId="0" applyFill="1" applyBorder="1" applyAlignment="1">
      <alignment vertical="center"/>
    </xf>
    <xf numFmtId="0" fontId="0" fillId="0" borderId="20" xfId="0" applyBorder="1" applyAlignment="1">
      <alignment vertical="center"/>
    </xf>
    <xf numFmtId="165" fontId="0" fillId="4" borderId="19" xfId="0" applyNumberFormat="1" applyFont="1" applyFill="1" applyBorder="1" applyAlignment="1">
      <alignment vertical="center"/>
    </xf>
    <xf numFmtId="166" fontId="0" fillId="0" borderId="33" xfId="0" applyNumberFormat="1" applyFill="1" applyBorder="1" applyAlignment="1">
      <alignment vertical="center"/>
    </xf>
    <xf numFmtId="0" fontId="0" fillId="0" borderId="32" xfId="0" applyFill="1" applyBorder="1" applyAlignment="1">
      <alignment horizontal="left" vertical="center" wrapText="1"/>
    </xf>
    <xf numFmtId="0" fontId="0" fillId="0" borderId="40" xfId="0" applyFill="1" applyBorder="1" applyAlignment="1">
      <alignment horizontal="left" vertical="center" wrapText="1"/>
    </xf>
    <xf numFmtId="0" fontId="0" fillId="0" borderId="40" xfId="0" applyFont="1" applyBorder="1" applyAlignment="1">
      <alignment horizontal="left" vertical="center"/>
    </xf>
    <xf numFmtId="0" fontId="0" fillId="0" borderId="40" xfId="0" applyBorder="1" applyAlignment="1">
      <alignment vertical="center"/>
    </xf>
    <xf numFmtId="0" fontId="0" fillId="0" borderId="40" xfId="0" applyFill="1" applyBorder="1" applyAlignment="1">
      <alignment vertical="center"/>
    </xf>
    <xf numFmtId="165" fontId="0" fillId="7" borderId="25" xfId="0" applyNumberFormat="1" applyFont="1" applyFill="1" applyBorder="1" applyAlignment="1">
      <alignment vertical="center"/>
    </xf>
    <xf numFmtId="0" fontId="0" fillId="0" borderId="39" xfId="0" applyFill="1" applyBorder="1" applyAlignment="1">
      <alignment horizontal="left" vertical="center" wrapText="1"/>
    </xf>
    <xf numFmtId="0" fontId="0" fillId="0" borderId="27" xfId="0" applyFill="1" applyBorder="1" applyAlignment="1">
      <alignment horizontal="left" vertical="center" wrapText="1"/>
    </xf>
    <xf numFmtId="0" fontId="0" fillId="0" borderId="18" xfId="0" applyFill="1" applyBorder="1" applyAlignment="1">
      <alignment horizontal="left" vertical="center" wrapText="1"/>
    </xf>
    <xf numFmtId="165" fontId="0" fillId="7" borderId="31" xfId="0" applyNumberFormat="1" applyFont="1" applyFill="1" applyBorder="1" applyAlignment="1">
      <alignment vertical="center"/>
    </xf>
    <xf numFmtId="166" fontId="0" fillId="0" borderId="35" xfId="0" applyNumberFormat="1" applyFont="1" applyFill="1" applyBorder="1" applyAlignment="1">
      <alignment vertical="center"/>
    </xf>
    <xf numFmtId="0" fontId="0" fillId="0" borderId="28" xfId="0" applyFill="1" applyBorder="1" applyAlignment="1">
      <alignment horizontal="left" vertical="center" wrapText="1"/>
    </xf>
    <xf numFmtId="166" fontId="0" fillId="0" borderId="44" xfId="0" applyNumberFormat="1" applyFont="1" applyFill="1" applyBorder="1" applyAlignment="1">
      <alignment vertical="center"/>
    </xf>
    <xf numFmtId="0" fontId="0" fillId="0" borderId="46" xfId="0" applyFont="1" applyBorder="1" applyAlignment="1">
      <alignment horizontal="left" vertical="center"/>
    </xf>
    <xf numFmtId="0" fontId="0" fillId="0" borderId="46" xfId="0" applyBorder="1" applyAlignment="1">
      <alignment vertical="center"/>
    </xf>
    <xf numFmtId="0" fontId="0" fillId="0" borderId="33" xfId="0" applyFill="1" applyBorder="1" applyAlignment="1">
      <alignment vertical="center"/>
    </xf>
    <xf numFmtId="0" fontId="0" fillId="0" borderId="27" xfId="0" applyFont="1" applyFill="1" applyBorder="1" applyAlignment="1">
      <alignment horizontal="left" vertical="center" wrapText="1"/>
    </xf>
    <xf numFmtId="0" fontId="0" fillId="0" borderId="27" xfId="0" applyFont="1" applyFill="1" applyBorder="1" applyAlignment="1">
      <alignment horizontal="left" vertical="center"/>
    </xf>
    <xf numFmtId="0" fontId="0" fillId="0" borderId="35" xfId="0" applyFont="1" applyFill="1" applyBorder="1" applyAlignment="1">
      <alignment horizontal="left" vertical="center" wrapText="1"/>
    </xf>
    <xf numFmtId="0" fontId="0" fillId="0" borderId="38" xfId="0" applyFont="1" applyFill="1" applyBorder="1" applyAlignment="1">
      <alignment horizontal="left" vertical="center" wrapText="1"/>
    </xf>
    <xf numFmtId="166" fontId="0" fillId="0" borderId="32" xfId="0" applyNumberFormat="1" applyFont="1" applyFill="1" applyBorder="1" applyAlignment="1">
      <alignment vertical="center"/>
    </xf>
    <xf numFmtId="0" fontId="0" fillId="0" borderId="46" xfId="0" applyFont="1" applyFill="1" applyBorder="1" applyAlignment="1">
      <alignment vertical="center"/>
    </xf>
    <xf numFmtId="0" fontId="0" fillId="0" borderId="0" xfId="0" applyFont="1" applyFill="1" applyBorder="1" applyAlignment="1">
      <alignment horizontal="left" vertical="center" wrapText="1"/>
    </xf>
    <xf numFmtId="0" fontId="0" fillId="30" borderId="27" xfId="0" applyFont="1" applyFill="1" applyBorder="1" applyAlignment="1">
      <alignment vertical="center"/>
    </xf>
    <xf numFmtId="0" fontId="0" fillId="0" borderId="28" xfId="0" applyFont="1" applyFill="1" applyBorder="1" applyAlignment="1">
      <alignment vertical="center"/>
    </xf>
    <xf numFmtId="0" fontId="0" fillId="0" borderId="35" xfId="0" applyFill="1" applyBorder="1" applyAlignment="1">
      <alignment horizontal="left" vertical="center" wrapText="1"/>
    </xf>
    <xf numFmtId="0" fontId="0" fillId="0" borderId="33" xfId="0" applyFill="1" applyBorder="1" applyAlignment="1">
      <alignment horizontal="left" vertical="center" wrapText="1"/>
    </xf>
    <xf numFmtId="0" fontId="0" fillId="0" borderId="42" xfId="0" applyFill="1" applyBorder="1" applyAlignment="1">
      <alignment horizontal="left" vertical="center" wrapText="1"/>
    </xf>
    <xf numFmtId="165" fontId="0" fillId="0" borderId="0" xfId="0" applyNumberFormat="1" applyFill="1" applyAlignment="1">
      <alignment vertical="center"/>
    </xf>
    <xf numFmtId="166" fontId="0" fillId="0" borderId="36" xfId="0" applyNumberFormat="1" applyFill="1" applyBorder="1" applyAlignment="1">
      <alignment vertical="center"/>
    </xf>
    <xf numFmtId="165" fontId="23" fillId="24" borderId="29" xfId="0" applyNumberFormat="1" applyFont="1" applyFill="1" applyBorder="1" applyAlignment="1">
      <alignment vertical="center"/>
    </xf>
    <xf numFmtId="0" fontId="0" fillId="0" borderId="45" xfId="0" applyFill="1" applyBorder="1" applyAlignment="1">
      <alignment horizontal="left" vertical="center" wrapText="1"/>
    </xf>
    <xf numFmtId="0" fontId="0" fillId="0" borderId="46" xfId="0" applyFill="1" applyBorder="1" applyAlignment="1">
      <alignment horizontal="left" vertical="center" wrapText="1"/>
    </xf>
    <xf numFmtId="165" fontId="23" fillId="0" borderId="0" xfId="0" applyNumberFormat="1" applyFont="1" applyFill="1" applyBorder="1" applyAlignment="1">
      <alignment vertical="center"/>
    </xf>
    <xf numFmtId="0" fontId="26" fillId="0" borderId="0" xfId="0" applyFont="1" applyFill="1" applyBorder="1" applyAlignment="1">
      <alignment horizontal="left" vertical="center"/>
    </xf>
    <xf numFmtId="0" fontId="0" fillId="0" borderId="15" xfId="0" applyFont="1" applyFill="1" applyBorder="1" applyAlignment="1">
      <alignment horizontal="left" vertical="center" wrapText="1"/>
    </xf>
    <xf numFmtId="0" fontId="0" fillId="0" borderId="28" xfId="0" applyBorder="1" applyAlignment="1">
      <alignment horizontal="left" vertical="center"/>
    </xf>
    <xf numFmtId="0" fontId="0" fillId="0" borderId="33" xfId="0" applyFont="1" applyFill="1" applyBorder="1" applyAlignment="1">
      <alignment horizontal="left" vertical="center" wrapText="1"/>
    </xf>
    <xf numFmtId="0" fontId="0" fillId="0" borderId="36" xfId="0" applyFont="1" applyFill="1" applyBorder="1" applyAlignment="1">
      <alignment horizontal="left" vertical="center" wrapText="1"/>
    </xf>
    <xf numFmtId="166" fontId="0" fillId="0" borderId="41" xfId="0" applyNumberFormat="1" applyFont="1" applyFill="1" applyBorder="1" applyAlignment="1">
      <alignment vertical="center"/>
    </xf>
    <xf numFmtId="0" fontId="0" fillId="0" borderId="42" xfId="0" applyFont="1" applyFill="1" applyBorder="1" applyAlignment="1">
      <alignment horizontal="left" vertical="center" wrapText="1"/>
    </xf>
    <xf numFmtId="0" fontId="0" fillId="0" borderId="43" xfId="0" applyBorder="1" applyAlignment="1">
      <alignment vertical="center"/>
    </xf>
    <xf numFmtId="0" fontId="20" fillId="30" borderId="27" xfId="0" applyFont="1" applyFill="1" applyBorder="1" applyAlignment="1">
      <alignment horizontal="left" vertical="center" wrapText="1"/>
    </xf>
    <xf numFmtId="0" fontId="20" fillId="30" borderId="27" xfId="0" applyFont="1" applyFill="1" applyBorder="1" applyAlignment="1">
      <alignment horizontal="left" vertical="center"/>
    </xf>
    <xf numFmtId="0" fontId="22" fillId="0" borderId="0" xfId="0" applyFont="1" applyFill="1" applyBorder="1" applyAlignment="1">
      <alignment horizontal="left" vertical="center"/>
    </xf>
    <xf numFmtId="0" fontId="22" fillId="0" borderId="20" xfId="0" applyFont="1" applyFill="1" applyBorder="1" applyAlignment="1">
      <alignment vertical="center"/>
    </xf>
    <xf numFmtId="0" fontId="22" fillId="0" borderId="0" xfId="0" applyFont="1" applyFill="1" applyBorder="1" applyAlignment="1">
      <alignment vertical="center"/>
    </xf>
    <xf numFmtId="0" fontId="22" fillId="0" borderId="32" xfId="0" applyFont="1" applyFill="1" applyBorder="1" applyAlignment="1">
      <alignment horizontal="left" vertical="center" wrapText="1"/>
    </xf>
    <xf numFmtId="0" fontId="22" fillId="0" borderId="18" xfId="0" applyFont="1" applyFill="1" applyBorder="1" applyAlignment="1">
      <alignment vertical="center" wrapText="1"/>
    </xf>
    <xf numFmtId="0" fontId="0" fillId="0" borderId="26" xfId="0" applyBorder="1" applyAlignment="1">
      <alignment vertical="center"/>
    </xf>
    <xf numFmtId="0" fontId="0" fillId="0" borderId="24" xfId="0" applyBorder="1" applyAlignment="1">
      <alignment vertical="center"/>
    </xf>
    <xf numFmtId="0" fontId="0" fillId="0" borderId="32" xfId="0" applyFont="1" applyBorder="1" applyAlignment="1">
      <alignment horizontal="left" vertical="center" wrapText="1"/>
    </xf>
    <xf numFmtId="0" fontId="0" fillId="25" borderId="0" xfId="0" applyFont="1" applyFill="1" applyBorder="1" applyAlignment="1">
      <alignment horizontal="left" vertical="center"/>
    </xf>
    <xf numFmtId="0" fontId="0" fillId="25" borderId="0" xfId="0" applyFill="1" applyBorder="1" applyAlignment="1">
      <alignment horizontal="left" vertical="center"/>
    </xf>
    <xf numFmtId="0" fontId="0" fillId="0" borderId="35" xfId="0" applyBorder="1" applyAlignment="1">
      <alignment horizontal="left" vertical="center" wrapText="1"/>
    </xf>
    <xf numFmtId="0" fontId="22" fillId="0" borderId="39" xfId="0" applyFont="1" applyFill="1" applyBorder="1" applyAlignment="1">
      <alignment horizontal="left" vertical="center" wrapText="1"/>
    </xf>
    <xf numFmtId="0" fontId="22" fillId="0" borderId="27" xfId="0" applyFont="1" applyFill="1" applyBorder="1" applyAlignment="1">
      <alignment vertical="center" wrapText="1"/>
    </xf>
    <xf numFmtId="0" fontId="0" fillId="20" borderId="0" xfId="0" applyFont="1" applyFill="1" applyBorder="1" applyAlignment="1">
      <alignment horizontal="left" vertical="center"/>
    </xf>
    <xf numFmtId="0" fontId="0" fillId="20" borderId="0" xfId="0" applyFill="1" applyBorder="1" applyAlignment="1">
      <alignment horizontal="left" vertical="center"/>
    </xf>
    <xf numFmtId="0" fontId="0" fillId="20" borderId="18" xfId="0" applyFont="1" applyFill="1" applyBorder="1" applyAlignment="1">
      <alignment horizontal="left" vertical="center"/>
    </xf>
    <xf numFmtId="0" fontId="0" fillId="20" borderId="18" xfId="0" applyFont="1" applyFill="1" applyBorder="1" applyAlignment="1">
      <alignment vertical="center"/>
    </xf>
    <xf numFmtId="0" fontId="0" fillId="32" borderId="18" xfId="0" applyFont="1" applyFill="1" applyBorder="1" applyAlignment="1">
      <alignment vertical="center"/>
    </xf>
    <xf numFmtId="0" fontId="0" fillId="0" borderId="11" xfId="0" applyFill="1" applyBorder="1" applyAlignment="1">
      <alignment horizontal="left" vertical="center" wrapText="1"/>
    </xf>
    <xf numFmtId="0" fontId="0" fillId="0" borderId="15" xfId="0" applyFill="1" applyBorder="1" applyAlignment="1">
      <alignment horizontal="left" vertical="center" wrapText="1"/>
    </xf>
    <xf numFmtId="0" fontId="0" fillId="0" borderId="39" xfId="0" applyFont="1" applyBorder="1" applyAlignment="1">
      <alignment horizontal="left" vertical="center" wrapText="1"/>
    </xf>
    <xf numFmtId="0" fontId="0" fillId="0" borderId="14" xfId="0" applyFont="1" applyFill="1" applyBorder="1" applyAlignment="1">
      <alignment horizontal="left" vertical="center" wrapText="1"/>
    </xf>
    <xf numFmtId="0" fontId="0" fillId="0" borderId="18" xfId="0" applyFill="1" applyBorder="1" applyAlignment="1">
      <alignment vertical="center"/>
    </xf>
    <xf numFmtId="0" fontId="0" fillId="0" borderId="27" xfId="0" applyFill="1" applyBorder="1" applyAlignment="1">
      <alignment vertical="center"/>
    </xf>
    <xf numFmtId="0" fontId="0" fillId="0" borderId="28" xfId="0" applyFill="1" applyBorder="1" applyAlignment="1">
      <alignment vertical="center"/>
    </xf>
    <xf numFmtId="0" fontId="0" fillId="0" borderId="18" xfId="0" applyFill="1" applyBorder="1" applyAlignment="1">
      <alignment vertical="center" wrapText="1"/>
    </xf>
    <xf numFmtId="0" fontId="0" fillId="0" borderId="28" xfId="0" applyFill="1" applyBorder="1" applyAlignment="1">
      <alignment vertical="center" wrapText="1"/>
    </xf>
    <xf numFmtId="0" fontId="0" fillId="0" borderId="38" xfId="0" applyFill="1" applyBorder="1" applyAlignment="1">
      <alignment vertical="center" wrapText="1"/>
    </xf>
    <xf numFmtId="0" fontId="0" fillId="0" borderId="27" xfId="0" applyFill="1" applyBorder="1" applyAlignment="1">
      <alignment vertical="center" wrapText="1"/>
    </xf>
    <xf numFmtId="0" fontId="0" fillId="0" borderId="0" xfId="0" applyFill="1" applyAlignment="1">
      <alignment vertical="center" wrapText="1"/>
    </xf>
    <xf numFmtId="0" fontId="0" fillId="0" borderId="43" xfId="0" applyFill="1" applyBorder="1" applyAlignment="1">
      <alignment horizontal="left" vertical="center" wrapText="1"/>
    </xf>
    <xf numFmtId="0" fontId="0" fillId="0" borderId="34" xfId="0" applyFill="1" applyBorder="1" applyAlignment="1">
      <alignment vertical="center" wrapText="1"/>
    </xf>
    <xf numFmtId="0" fontId="0" fillId="0" borderId="33" xfId="0" applyFill="1" applyBorder="1" applyAlignment="1">
      <alignment vertical="center" wrapText="1"/>
    </xf>
    <xf numFmtId="17" fontId="0" fillId="8" borderId="14" xfId="0" applyNumberFormat="1" applyFill="1" applyBorder="1" applyAlignment="1">
      <alignment vertical="center" wrapText="1"/>
    </xf>
    <xf numFmtId="0" fontId="0" fillId="0" borderId="0" xfId="0" applyFont="1" applyAlignment="1">
      <alignment vertical="center" wrapText="1"/>
    </xf>
    <xf numFmtId="0" fontId="20" fillId="8" borderId="18" xfId="0" applyFont="1" applyFill="1" applyBorder="1" applyAlignment="1">
      <alignment horizontal="center" vertical="center" wrapText="1"/>
    </xf>
    <xf numFmtId="0" fontId="18" fillId="0" borderId="0" xfId="0" applyFont="1" applyFill="1" applyAlignment="1">
      <alignment vertical="center"/>
    </xf>
    <xf numFmtId="0" fontId="19" fillId="8" borderId="10" xfId="0" applyFont="1" applyFill="1" applyBorder="1" applyAlignment="1" applyProtection="1">
      <alignment horizontal="left" vertical="center"/>
      <protection locked="0"/>
    </xf>
    <xf numFmtId="0" fontId="19" fillId="8" borderId="11" xfId="0" applyFont="1" applyFill="1" applyBorder="1" applyAlignment="1" applyProtection="1">
      <alignment horizontal="center" vertical="center"/>
      <protection locked="0"/>
    </xf>
    <xf numFmtId="166" fontId="18" fillId="8" borderId="11" xfId="0" applyNumberFormat="1" applyFont="1" applyFill="1" applyBorder="1" applyAlignment="1" applyProtection="1">
      <alignment vertical="center"/>
      <protection locked="0"/>
    </xf>
    <xf numFmtId="0" fontId="20" fillId="8" borderId="11" xfId="0" applyFont="1" applyFill="1" applyBorder="1" applyAlignment="1" applyProtection="1">
      <alignment horizontal="right" vertical="center" wrapText="1"/>
      <protection locked="0"/>
    </xf>
    <xf numFmtId="15" fontId="20" fillId="8" borderId="11" xfId="0" applyNumberFormat="1" applyFont="1" applyFill="1" applyBorder="1" applyAlignment="1" applyProtection="1">
      <alignment horizontal="left" vertical="center" wrapText="1"/>
      <protection locked="0"/>
    </xf>
    <xf numFmtId="0" fontId="19" fillId="8" borderId="11" xfId="0" applyFont="1" applyFill="1" applyBorder="1" applyAlignment="1" applyProtection="1">
      <alignment horizontal="left" vertical="center"/>
      <protection locked="0"/>
    </xf>
    <xf numFmtId="0" fontId="19" fillId="0" borderId="0" xfId="0" applyFont="1" applyAlignment="1">
      <alignment vertical="center"/>
    </xf>
    <xf numFmtId="0" fontId="18" fillId="0" borderId="0" xfId="0" applyFont="1" applyAlignment="1">
      <alignment vertical="center"/>
    </xf>
    <xf numFmtId="0" fontId="24" fillId="8" borderId="12" xfId="0" applyFont="1" applyFill="1" applyBorder="1" applyAlignment="1" applyProtection="1">
      <alignment horizontal="left" vertical="center"/>
      <protection locked="0"/>
    </xf>
    <xf numFmtId="0" fontId="19" fillId="8" borderId="0" xfId="0" applyFont="1" applyFill="1" applyBorder="1" applyAlignment="1" applyProtection="1">
      <alignment horizontal="center" vertical="center"/>
      <protection locked="0"/>
    </xf>
    <xf numFmtId="166" fontId="18" fillId="8" borderId="0" xfId="0" applyNumberFormat="1" applyFont="1" applyFill="1" applyBorder="1" applyAlignment="1" applyProtection="1">
      <alignment vertical="center"/>
      <protection locked="0"/>
    </xf>
    <xf numFmtId="0" fontId="20" fillId="8" borderId="0" xfId="0" applyFont="1" applyFill="1" applyBorder="1" applyAlignment="1">
      <alignment horizontal="right" vertical="center" wrapText="1"/>
    </xf>
    <xf numFmtId="15" fontId="20" fillId="8" borderId="0" xfId="0" applyNumberFormat="1" applyFont="1" applyFill="1" applyBorder="1" applyAlignment="1" applyProtection="1">
      <alignment horizontal="left" vertical="center" wrapText="1"/>
      <protection locked="0"/>
    </xf>
    <xf numFmtId="0" fontId="19" fillId="8" borderId="0" xfId="0" applyFont="1" applyFill="1" applyBorder="1" applyAlignment="1" applyProtection="1">
      <alignment horizontal="left" vertical="center"/>
      <protection locked="0"/>
    </xf>
    <xf numFmtId="0" fontId="0" fillId="8" borderId="13" xfId="0" applyFont="1" applyFill="1" applyBorder="1" applyAlignment="1">
      <alignment vertical="center"/>
    </xf>
    <xf numFmtId="0" fontId="20" fillId="8" borderId="14" xfId="0" applyFont="1" applyFill="1" applyBorder="1" applyAlignment="1">
      <alignment vertical="center"/>
    </xf>
    <xf numFmtId="0" fontId="0" fillId="8" borderId="14" xfId="0" applyFont="1" applyFill="1" applyBorder="1" applyAlignment="1">
      <alignment vertical="center"/>
    </xf>
    <xf numFmtId="166" fontId="0" fillId="8" borderId="14" xfId="0" applyNumberFormat="1" applyFont="1" applyFill="1" applyBorder="1" applyAlignment="1">
      <alignment vertical="center"/>
    </xf>
    <xf numFmtId="0" fontId="0" fillId="8" borderId="14" xfId="0" applyFont="1" applyFill="1" applyBorder="1" applyAlignment="1">
      <alignment horizontal="left" vertical="center" wrapText="1"/>
    </xf>
    <xf numFmtId="0" fontId="0" fillId="8" borderId="14" xfId="0" applyFont="1" applyFill="1" applyBorder="1" applyAlignment="1">
      <alignment horizontal="left" vertical="center"/>
    </xf>
    <xf numFmtId="164" fontId="20" fillId="0" borderId="0" xfId="0" applyNumberFormat="1" applyFont="1" applyFill="1" applyBorder="1" applyAlignment="1">
      <alignment vertical="center"/>
    </xf>
    <xf numFmtId="165" fontId="0" fillId="0" borderId="30" xfId="0" applyNumberFormat="1" applyFill="1" applyBorder="1" applyAlignment="1">
      <alignment vertical="center"/>
    </xf>
    <xf numFmtId="0" fontId="0" fillId="0" borderId="15" xfId="0" applyFont="1" applyBorder="1" applyAlignment="1">
      <alignment vertical="center"/>
    </xf>
    <xf numFmtId="166" fontId="0" fillId="0" borderId="0" xfId="0" applyNumberFormat="1" applyFont="1" applyAlignment="1">
      <alignment vertical="center"/>
    </xf>
    <xf numFmtId="0" fontId="0" fillId="0" borderId="0" xfId="0" applyFont="1" applyAlignment="1">
      <alignment horizontal="left" vertical="center" wrapText="1"/>
    </xf>
    <xf numFmtId="0" fontId="20" fillId="0" borderId="0" xfId="0" applyFont="1" applyBorder="1" applyAlignment="1">
      <alignment horizontal="center" vertical="center"/>
    </xf>
    <xf numFmtId="166" fontId="0" fillId="0" borderId="0" xfId="0" applyNumberFormat="1" applyFont="1" applyBorder="1" applyAlignment="1">
      <alignment vertical="center"/>
    </xf>
    <xf numFmtId="166" fontId="20" fillId="8" borderId="18" xfId="0" applyNumberFormat="1" applyFont="1" applyFill="1" applyBorder="1" applyAlignment="1">
      <alignment horizontal="center" vertical="center"/>
    </xf>
    <xf numFmtId="0" fontId="20" fillId="8" borderId="18"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0" fillId="0" borderId="0" xfId="0" applyFont="1" applyAlignment="1">
      <alignment vertical="center" wrapText="1"/>
    </xf>
    <xf numFmtId="0" fontId="20" fillId="0" borderId="0" xfId="0" applyFont="1" applyBorder="1" applyAlignment="1">
      <alignment horizontal="left" vertical="center"/>
    </xf>
    <xf numFmtId="0" fontId="0" fillId="0" borderId="0" xfId="0" applyFont="1" applyFill="1" applyBorder="1" applyAlignment="1">
      <alignment vertical="center" wrapText="1"/>
    </xf>
    <xf numFmtId="165" fontId="0" fillId="0" borderId="0" xfId="0" applyNumberFormat="1" applyFill="1" applyBorder="1" applyAlignment="1">
      <alignment vertical="center"/>
    </xf>
    <xf numFmtId="0" fontId="0" fillId="0" borderId="55" xfId="0" applyFill="1" applyBorder="1" applyAlignment="1">
      <alignment horizontal="left" vertical="center" wrapText="1"/>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0" fontId="0" fillId="0" borderId="33" xfId="0" applyFont="1" applyFill="1" applyBorder="1" applyAlignment="1">
      <alignment horizontal="left" vertical="center"/>
    </xf>
    <xf numFmtId="0" fontId="0" fillId="0" borderId="33" xfId="0" applyFont="1" applyBorder="1" applyAlignment="1">
      <alignment horizontal="left" vertical="center"/>
    </xf>
    <xf numFmtId="0" fontId="0" fillId="0" borderId="33" xfId="0" applyBorder="1" applyAlignment="1">
      <alignment vertical="center"/>
    </xf>
    <xf numFmtId="0" fontId="0" fillId="0" borderId="33" xfId="0" applyFont="1" applyFill="1" applyBorder="1" applyAlignment="1">
      <alignment vertical="center"/>
    </xf>
    <xf numFmtId="0" fontId="22" fillId="0" borderId="33" xfId="0" applyFont="1" applyFill="1" applyBorder="1" applyAlignment="1">
      <alignment vertical="center" wrapText="1"/>
    </xf>
    <xf numFmtId="0" fontId="0" fillId="33" borderId="0" xfId="0" applyFill="1" applyAlignment="1">
      <alignment horizontal="left" vertical="center" wrapText="1"/>
    </xf>
    <xf numFmtId="0" fontId="0" fillId="0" borderId="43" xfId="0" applyFont="1" applyBorder="1" applyAlignment="1">
      <alignment horizontal="left" vertical="center"/>
    </xf>
    <xf numFmtId="0" fontId="0" fillId="0" borderId="43" xfId="0" applyFont="1" applyFill="1" applyBorder="1" applyAlignment="1">
      <alignment horizontal="left" vertical="center"/>
    </xf>
    <xf numFmtId="0" fontId="0" fillId="0" borderId="43" xfId="0" applyFont="1" applyFill="1" applyBorder="1" applyAlignment="1">
      <alignment vertical="center"/>
    </xf>
    <xf numFmtId="0" fontId="0" fillId="0" borderId="43" xfId="0" applyFont="1" applyBorder="1" applyAlignment="1">
      <alignment vertical="center"/>
    </xf>
    <xf numFmtId="0" fontId="0" fillId="0" borderId="43" xfId="0" applyFont="1" applyFill="1" applyBorder="1" applyAlignment="1">
      <alignment horizontal="left" vertical="center" wrapText="1"/>
    </xf>
    <xf numFmtId="166" fontId="0" fillId="30" borderId="33" xfId="0" applyNumberFormat="1" applyFont="1" applyFill="1" applyBorder="1" applyAlignment="1">
      <alignment vertical="center"/>
    </xf>
    <xf numFmtId="0" fontId="20" fillId="30" borderId="33" xfId="0" applyFont="1" applyFill="1" applyBorder="1" applyAlignment="1">
      <alignment horizontal="left" vertical="center" wrapText="1"/>
    </xf>
    <xf numFmtId="0" fontId="20" fillId="30" borderId="33" xfId="0" applyFont="1" applyFill="1" applyBorder="1" applyAlignment="1">
      <alignment vertical="center" wrapText="1"/>
    </xf>
    <xf numFmtId="0" fontId="0" fillId="30" borderId="33" xfId="0" applyFont="1" applyFill="1" applyBorder="1" applyAlignment="1">
      <alignment horizontal="left" vertical="center"/>
    </xf>
    <xf numFmtId="0" fontId="0" fillId="30" borderId="33" xfId="0" applyFont="1" applyFill="1" applyBorder="1" applyAlignment="1">
      <alignment vertical="center"/>
    </xf>
    <xf numFmtId="0" fontId="0" fillId="31" borderId="33" xfId="0" applyFont="1" applyFill="1" applyBorder="1" applyAlignment="1">
      <alignment vertical="center"/>
    </xf>
    <xf numFmtId="165" fontId="23" fillId="24" borderId="59" xfId="0" applyNumberFormat="1" applyFont="1" applyFill="1" applyBorder="1" applyAlignment="1">
      <alignment vertical="center"/>
    </xf>
    <xf numFmtId="166" fontId="0" fillId="0" borderId="41" xfId="0" applyNumberFormat="1" applyFill="1" applyBorder="1" applyAlignment="1">
      <alignment vertical="center"/>
    </xf>
    <xf numFmtId="0" fontId="0" fillId="30" borderId="33" xfId="0" applyFill="1" applyBorder="1" applyAlignment="1">
      <alignment vertical="center"/>
    </xf>
    <xf numFmtId="0" fontId="0" fillId="31" borderId="33" xfId="0" applyFill="1" applyBorder="1" applyAlignment="1">
      <alignment vertical="center"/>
    </xf>
    <xf numFmtId="0" fontId="0" fillId="28" borderId="33" xfId="0" applyFont="1" applyFill="1" applyBorder="1" applyAlignment="1">
      <alignment horizontal="left" vertical="center" wrapText="1"/>
    </xf>
    <xf numFmtId="0" fontId="0" fillId="28" borderId="33" xfId="0" applyFont="1" applyFill="1" applyBorder="1" applyAlignment="1">
      <alignment vertical="center" wrapText="1"/>
    </xf>
    <xf numFmtId="0" fontId="0" fillId="28" borderId="33" xfId="0" applyFont="1" applyFill="1" applyBorder="1" applyAlignment="1">
      <alignment horizontal="left" vertical="center"/>
    </xf>
    <xf numFmtId="0" fontId="0" fillId="28" borderId="33" xfId="0" applyFont="1" applyFill="1" applyBorder="1" applyAlignment="1">
      <alignment vertical="center"/>
    </xf>
    <xf numFmtId="0" fontId="0" fillId="29" borderId="33" xfId="0" applyFont="1" applyFill="1" applyBorder="1" applyAlignment="1">
      <alignment vertical="center"/>
    </xf>
    <xf numFmtId="0" fontId="0" fillId="0" borderId="27" xfId="0" applyFont="1" applyBorder="1" applyAlignment="1">
      <alignment vertical="center"/>
    </xf>
    <xf numFmtId="166" fontId="0" fillId="26" borderId="33" xfId="0" applyNumberFormat="1" applyFont="1" applyFill="1" applyBorder="1" applyAlignment="1">
      <alignment vertical="center"/>
    </xf>
    <xf numFmtId="0" fontId="20" fillId="26" borderId="33" xfId="0" applyFont="1" applyFill="1" applyBorder="1" applyAlignment="1">
      <alignment horizontal="left" vertical="center" wrapText="1"/>
    </xf>
    <xf numFmtId="0" fontId="20" fillId="26" borderId="33" xfId="0" applyFont="1" applyFill="1" applyBorder="1" applyAlignment="1">
      <alignment vertical="center" wrapText="1"/>
    </xf>
    <xf numFmtId="0" fontId="0" fillId="26" borderId="33" xfId="0" applyFont="1" applyFill="1" applyBorder="1" applyAlignment="1">
      <alignment horizontal="left" vertical="center"/>
    </xf>
    <xf numFmtId="0" fontId="0" fillId="26" borderId="33" xfId="0" applyFont="1" applyFill="1" applyBorder="1" applyAlignment="1">
      <alignment vertical="center"/>
    </xf>
    <xf numFmtId="0" fontId="0" fillId="27" borderId="33" xfId="0" applyFont="1" applyFill="1" applyBorder="1" applyAlignment="1">
      <alignment vertical="center"/>
    </xf>
    <xf numFmtId="166" fontId="0" fillId="0" borderId="15" xfId="0" applyNumberFormat="1" applyFont="1" applyFill="1" applyBorder="1" applyAlignment="1">
      <alignment vertical="center"/>
    </xf>
    <xf numFmtId="0" fontId="0" fillId="0" borderId="39" xfId="0" applyFont="1" applyBorder="1" applyAlignment="1">
      <alignment horizontal="left" vertical="center"/>
    </xf>
    <xf numFmtId="0" fontId="0" fillId="0" borderId="32" xfId="0" applyFont="1" applyBorder="1" applyAlignment="1">
      <alignment horizontal="left" vertical="center"/>
    </xf>
    <xf numFmtId="0" fontId="0" fillId="0" borderId="35" xfId="0" applyFont="1" applyBorder="1" applyAlignment="1">
      <alignment horizontal="left" vertical="center"/>
    </xf>
    <xf numFmtId="0" fontId="0" fillId="0" borderId="39" xfId="0" applyFont="1" applyFill="1" applyBorder="1" applyAlignment="1">
      <alignment horizontal="left" vertical="center"/>
    </xf>
    <xf numFmtId="0" fontId="20" fillId="30" borderId="42" xfId="0" applyFont="1" applyFill="1" applyBorder="1" applyAlignment="1">
      <alignment horizontal="left" vertical="center" wrapText="1"/>
    </xf>
    <xf numFmtId="0" fontId="20" fillId="30" borderId="43" xfId="0" applyFont="1" applyFill="1" applyBorder="1" applyAlignment="1">
      <alignment vertical="center" wrapText="1"/>
    </xf>
    <xf numFmtId="166" fontId="0" fillId="0" borderId="51" xfId="0" applyNumberFormat="1" applyFont="1" applyFill="1" applyBorder="1" applyAlignment="1">
      <alignment vertical="center"/>
    </xf>
    <xf numFmtId="0" fontId="0" fillId="0" borderId="49" xfId="0" applyFont="1" applyBorder="1" applyAlignment="1">
      <alignment horizontal="left" vertical="center"/>
    </xf>
    <xf numFmtId="0" fontId="0" fillId="0" borderId="42" xfId="0" applyFont="1" applyBorder="1" applyAlignment="1">
      <alignment horizontal="left" vertical="center"/>
    </xf>
    <xf numFmtId="0" fontId="19" fillId="8" borderId="11" xfId="0" applyFont="1" applyFill="1" applyBorder="1" applyAlignment="1" applyProtection="1">
      <alignment horizontal="center" vertical="center" wrapText="1"/>
      <protection locked="0"/>
    </xf>
    <xf numFmtId="0" fontId="19" fillId="8" borderId="0" xfId="0" applyFont="1" applyFill="1" applyBorder="1" applyAlignment="1" applyProtection="1">
      <alignment horizontal="center" vertical="center" wrapText="1"/>
      <protection locked="0"/>
    </xf>
    <xf numFmtId="0" fontId="0" fillId="8" borderId="14" xfId="0" applyFont="1" applyFill="1" applyBorder="1" applyAlignment="1">
      <alignment vertical="center" wrapText="1"/>
    </xf>
    <xf numFmtId="0" fontId="0" fillId="26" borderId="33" xfId="0" applyFont="1" applyFill="1" applyBorder="1" applyAlignment="1">
      <alignment vertical="center" wrapText="1"/>
    </xf>
    <xf numFmtId="0" fontId="0" fillId="0" borderId="27" xfId="0" applyFont="1" applyBorder="1" applyAlignment="1">
      <alignment vertical="center" wrapText="1"/>
    </xf>
    <xf numFmtId="0" fontId="0" fillId="0" borderId="18" xfId="0" applyBorder="1" applyAlignment="1">
      <alignment vertical="center" wrapText="1"/>
    </xf>
    <xf numFmtId="0" fontId="0" fillId="0" borderId="28" xfId="0" applyBorder="1" applyAlignment="1">
      <alignment vertical="center" wrapText="1"/>
    </xf>
    <xf numFmtId="0" fontId="0" fillId="0" borderId="38" xfId="0" applyBorder="1" applyAlignment="1">
      <alignment vertical="center" wrapText="1"/>
    </xf>
    <xf numFmtId="0" fontId="0" fillId="0" borderId="27" xfId="0" applyBorder="1" applyAlignment="1">
      <alignment vertical="center" wrapText="1"/>
    </xf>
    <xf numFmtId="0" fontId="0" fillId="30" borderId="27" xfId="0" applyFill="1" applyBorder="1" applyAlignment="1">
      <alignment vertical="center" wrapText="1"/>
    </xf>
    <xf numFmtId="0" fontId="0" fillId="0" borderId="18" xfId="0" applyFont="1" applyBorder="1" applyAlignment="1">
      <alignment vertical="center" wrapText="1"/>
    </xf>
    <xf numFmtId="0" fontId="0" fillId="0" borderId="28" xfId="0" applyFont="1" applyBorder="1" applyAlignment="1">
      <alignment vertical="center" wrapText="1"/>
    </xf>
    <xf numFmtId="0" fontId="0" fillId="0" borderId="0" xfId="0" applyBorder="1" applyAlignment="1">
      <alignment vertical="center" wrapText="1"/>
    </xf>
    <xf numFmtId="0" fontId="0" fillId="0" borderId="33" xfId="0" applyBorder="1" applyAlignment="1">
      <alignment vertical="center" wrapText="1"/>
    </xf>
    <xf numFmtId="0" fontId="0" fillId="0" borderId="33" xfId="0" applyFont="1" applyFill="1" applyBorder="1" applyAlignment="1">
      <alignment vertical="center" wrapText="1"/>
    </xf>
    <xf numFmtId="0" fontId="0" fillId="0" borderId="40" xfId="0" applyBorder="1" applyAlignment="1">
      <alignment vertical="center" wrapText="1"/>
    </xf>
    <xf numFmtId="0" fontId="0" fillId="0" borderId="43" xfId="0" applyBorder="1" applyAlignment="1">
      <alignment vertical="center" wrapText="1"/>
    </xf>
    <xf numFmtId="0" fontId="0" fillId="30" borderId="33" xfId="0" applyFont="1" applyFill="1" applyBorder="1" applyAlignment="1">
      <alignment vertical="center" wrapText="1"/>
    </xf>
    <xf numFmtId="0" fontId="0" fillId="0" borderId="43" xfId="0" applyFont="1" applyFill="1" applyBorder="1" applyAlignment="1">
      <alignment vertical="center" wrapText="1"/>
    </xf>
    <xf numFmtId="0" fontId="0" fillId="0" borderId="37" xfId="0" applyBorder="1" applyAlignment="1">
      <alignment vertical="center" wrapText="1"/>
    </xf>
    <xf numFmtId="0" fontId="0" fillId="0" borderId="46" xfId="0" applyFont="1" applyFill="1" applyBorder="1" applyAlignment="1">
      <alignment vertical="center" wrapText="1"/>
    </xf>
    <xf numFmtId="0" fontId="0" fillId="30" borderId="33" xfId="0" applyFill="1" applyBorder="1" applyAlignment="1">
      <alignment vertical="center" wrapText="1"/>
    </xf>
    <xf numFmtId="0" fontId="0" fillId="0" borderId="38" xfId="0" applyFont="1" applyBorder="1" applyAlignment="1">
      <alignment vertical="center" wrapText="1"/>
    </xf>
    <xf numFmtId="0" fontId="0" fillId="30" borderId="27" xfId="0" applyFont="1" applyFill="1" applyBorder="1" applyAlignment="1">
      <alignment vertical="center" wrapText="1"/>
    </xf>
    <xf numFmtId="0" fontId="0" fillId="20" borderId="18" xfId="0" applyFont="1" applyFill="1" applyBorder="1" applyAlignment="1">
      <alignment vertical="center" wrapText="1"/>
    </xf>
    <xf numFmtId="0" fontId="0" fillId="0" borderId="61" xfId="0" applyFont="1" applyFill="1" applyBorder="1" applyAlignment="1">
      <alignment horizontal="left" vertical="center" wrapText="1"/>
    </xf>
    <xf numFmtId="0" fontId="0" fillId="0" borderId="63" xfId="0" applyBorder="1" applyAlignment="1">
      <alignment vertical="center"/>
    </xf>
    <xf numFmtId="0" fontId="0" fillId="0" borderId="30" xfId="0" applyBorder="1" applyAlignment="1">
      <alignment vertical="center"/>
    </xf>
    <xf numFmtId="0" fontId="0" fillId="0" borderId="10" xfId="0" applyBorder="1" applyAlignment="1">
      <alignment vertical="center"/>
    </xf>
    <xf numFmtId="0" fontId="0" fillId="0" borderId="34" xfId="0" applyFill="1" applyBorder="1" applyAlignment="1">
      <alignment vertical="center"/>
    </xf>
    <xf numFmtId="0" fontId="0" fillId="0" borderId="34" xfId="0" applyBorder="1" applyAlignment="1">
      <alignment vertical="center"/>
    </xf>
    <xf numFmtId="0" fontId="0" fillId="0" borderId="64" xfId="0" applyFont="1" applyFill="1" applyBorder="1" applyAlignment="1">
      <alignment vertical="center"/>
    </xf>
    <xf numFmtId="0" fontId="0" fillId="0" borderId="28" xfId="0" applyFont="1" applyFill="1" applyBorder="1" applyAlignment="1">
      <alignment horizontal="left" vertical="center"/>
    </xf>
    <xf numFmtId="0" fontId="0" fillId="0" borderId="1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30" xfId="0" applyFill="1" applyBorder="1" applyAlignment="1">
      <alignment vertical="center" wrapText="1"/>
    </xf>
    <xf numFmtId="0" fontId="0" fillId="0" borderId="33" xfId="0" applyFont="1" applyFill="1" applyBorder="1" applyAlignment="1">
      <alignment horizontal="center" vertical="center" wrapText="1"/>
    </xf>
    <xf numFmtId="0" fontId="0" fillId="0" borderId="62" xfId="0" applyFont="1" applyFill="1" applyBorder="1" applyAlignment="1">
      <alignment vertical="center" wrapText="1"/>
    </xf>
    <xf numFmtId="0" fontId="0" fillId="0" borderId="62" xfId="0" applyFont="1" applyFill="1" applyBorder="1" applyAlignment="1">
      <alignment horizontal="left" vertical="center"/>
    </xf>
    <xf numFmtId="0" fontId="22" fillId="0" borderId="33" xfId="0" applyFont="1" applyFill="1" applyBorder="1" applyAlignment="1">
      <alignment horizontal="left" vertical="center" wrapText="1"/>
    </xf>
    <xf numFmtId="0" fontId="0" fillId="0" borderId="0" xfId="0" applyFill="1" applyBorder="1" applyAlignment="1">
      <alignment vertical="center" wrapText="1"/>
    </xf>
    <xf numFmtId="0" fontId="0" fillId="0" borderId="34" xfId="0" applyFont="1" applyFill="1" applyBorder="1" applyAlignment="1">
      <alignment vertical="center" wrapText="1"/>
    </xf>
    <xf numFmtId="0" fontId="0" fillId="0" borderId="0" xfId="0" applyBorder="1" applyAlignment="1">
      <alignment horizontal="left" vertical="center"/>
    </xf>
    <xf numFmtId="0" fontId="0" fillId="0" borderId="0" xfId="0" applyBorder="1" applyAlignment="1">
      <alignment horizontal="left" vertical="center"/>
    </xf>
    <xf numFmtId="0" fontId="0" fillId="0" borderId="35" xfId="0" applyFill="1" applyBorder="1" applyAlignment="1">
      <alignment horizontal="left" vertical="center" wrapText="1"/>
    </xf>
    <xf numFmtId="0" fontId="0" fillId="0" borderId="0" xfId="0" applyFont="1" applyBorder="1" applyAlignment="1">
      <alignment horizontal="left" vertical="center"/>
    </xf>
    <xf numFmtId="0" fontId="0" fillId="0" borderId="0" xfId="0" applyFont="1" applyAlignment="1">
      <alignment vertical="center"/>
    </xf>
    <xf numFmtId="0" fontId="0" fillId="0" borderId="0" xfId="0" applyBorder="1" applyAlignment="1">
      <alignment horizontal="left" vertical="center"/>
    </xf>
    <xf numFmtId="0" fontId="0" fillId="0" borderId="0" xfId="0" applyAlignment="1">
      <alignment vertical="center"/>
    </xf>
    <xf numFmtId="0" fontId="0" fillId="0" borderId="0" xfId="0" applyFont="1" applyFill="1" applyBorder="1" applyAlignment="1">
      <alignment horizontal="left" vertical="center"/>
    </xf>
    <xf numFmtId="0" fontId="0" fillId="0" borderId="0" xfId="0" applyFill="1" applyAlignment="1">
      <alignment vertical="center"/>
    </xf>
    <xf numFmtId="0" fontId="0" fillId="0" borderId="0" xfId="0" applyFill="1" applyBorder="1" applyAlignment="1">
      <alignment horizontal="left" vertical="center"/>
    </xf>
    <xf numFmtId="165" fontId="0" fillId="0" borderId="0" xfId="0" applyNumberFormat="1" applyAlignment="1">
      <alignment vertical="center"/>
    </xf>
    <xf numFmtId="0" fontId="0" fillId="0" borderId="22" xfId="0" applyFont="1" applyBorder="1" applyAlignment="1">
      <alignment vertical="center"/>
    </xf>
    <xf numFmtId="0" fontId="0" fillId="0" borderId="28" xfId="0" applyBorder="1" applyAlignment="1">
      <alignment vertical="center"/>
    </xf>
    <xf numFmtId="0" fontId="0" fillId="0" borderId="28" xfId="0" applyFont="1" applyBorder="1" applyAlignment="1">
      <alignment horizontal="left" vertical="center"/>
    </xf>
    <xf numFmtId="0" fontId="0" fillId="0" borderId="28" xfId="0" applyFont="1" applyBorder="1" applyAlignment="1">
      <alignment vertical="center"/>
    </xf>
    <xf numFmtId="166" fontId="0" fillId="0" borderId="38" xfId="0" applyNumberFormat="1" applyFont="1" applyFill="1" applyBorder="1" applyAlignment="1">
      <alignment vertical="center"/>
    </xf>
    <xf numFmtId="0" fontId="0" fillId="0" borderId="38" xfId="0" applyBorder="1" applyAlignment="1">
      <alignment vertical="center"/>
    </xf>
    <xf numFmtId="0" fontId="0" fillId="0" borderId="38" xfId="0" applyFont="1" applyBorder="1" applyAlignment="1">
      <alignment horizontal="left" vertical="center"/>
    </xf>
    <xf numFmtId="0" fontId="0" fillId="0" borderId="38" xfId="0" applyFill="1" applyBorder="1" applyAlignment="1">
      <alignment vertical="center"/>
    </xf>
    <xf numFmtId="0" fontId="0" fillId="0" borderId="38" xfId="0" applyFont="1" applyFill="1" applyBorder="1" applyAlignment="1">
      <alignment horizontal="left" vertical="center" wrapText="1"/>
    </xf>
    <xf numFmtId="166" fontId="0" fillId="0" borderId="32" xfId="0" applyNumberFormat="1" applyFont="1" applyFill="1" applyBorder="1" applyAlignment="1">
      <alignment vertical="center"/>
    </xf>
    <xf numFmtId="0" fontId="0" fillId="0" borderId="28" xfId="0" applyFont="1" applyFill="1" applyBorder="1" applyAlignment="1">
      <alignment vertical="center"/>
    </xf>
    <xf numFmtId="0" fontId="0" fillId="0" borderId="28" xfId="0" applyBorder="1" applyAlignment="1">
      <alignment vertical="center" wrapText="1"/>
    </xf>
    <xf numFmtId="0" fontId="0" fillId="0" borderId="38" xfId="0" applyBorder="1" applyAlignment="1">
      <alignment vertical="center" wrapText="1"/>
    </xf>
    <xf numFmtId="165" fontId="0" fillId="4" borderId="16" xfId="0" applyNumberFormat="1" applyFont="1" applyFill="1" applyBorder="1" applyAlignment="1">
      <alignment vertical="center"/>
    </xf>
    <xf numFmtId="165" fontId="0" fillId="7" borderId="17" xfId="0" applyNumberFormat="1" applyFont="1" applyFill="1" applyBorder="1" applyAlignment="1">
      <alignment vertical="center"/>
    </xf>
    <xf numFmtId="165" fontId="0" fillId="4" borderId="60" xfId="0" applyNumberFormat="1" applyFont="1" applyFill="1" applyBorder="1" applyAlignment="1">
      <alignment vertical="center"/>
    </xf>
    <xf numFmtId="165" fontId="0" fillId="7" borderId="2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7" borderId="65" xfId="0" applyNumberFormat="1" applyFont="1" applyFill="1" applyBorder="1" applyAlignment="1">
      <alignment vertical="center"/>
    </xf>
    <xf numFmtId="0" fontId="0" fillId="0" borderId="32" xfId="0" applyBorder="1" applyAlignment="1">
      <alignment horizontal="left" vertical="center" wrapText="1"/>
    </xf>
    <xf numFmtId="0" fontId="0" fillId="0" borderId="18" xfId="0" applyFill="1" applyBorder="1" applyAlignment="1">
      <alignment vertical="center" wrapText="1"/>
    </xf>
    <xf numFmtId="0" fontId="0" fillId="0" borderId="54" xfId="0" applyBorder="1" applyAlignment="1">
      <alignment horizontal="left" vertical="top" indent="1"/>
    </xf>
    <xf numFmtId="0" fontId="0" fillId="0" borderId="47" xfId="0" applyBorder="1" applyAlignment="1">
      <alignment horizontal="left" vertical="top" wrapText="1" indent="1"/>
    </xf>
    <xf numFmtId="165" fontId="20" fillId="37" borderId="19" xfId="0" applyNumberFormat="1" applyFont="1" applyFill="1" applyBorder="1" applyAlignment="1">
      <alignment horizontal="center" vertical="center"/>
    </xf>
    <xf numFmtId="165" fontId="0" fillId="37" borderId="19" xfId="0" applyNumberFormat="1" applyFont="1" applyFill="1" applyBorder="1" applyAlignment="1">
      <alignment vertical="center"/>
    </xf>
    <xf numFmtId="165" fontId="0" fillId="7" borderId="19" xfId="0" applyNumberFormat="1" applyFont="1" applyFill="1" applyBorder="1" applyAlignment="1">
      <alignment vertical="center"/>
    </xf>
    <xf numFmtId="0" fontId="0" fillId="0" borderId="49" xfId="0" applyFill="1" applyBorder="1" applyAlignment="1">
      <alignment horizontal="left" vertical="center" wrapText="1"/>
    </xf>
    <xf numFmtId="0" fontId="0" fillId="0" borderId="33" xfId="0" applyBorder="1" applyAlignment="1">
      <alignment horizontal="left" vertical="center" wrapText="1"/>
    </xf>
    <xf numFmtId="0" fontId="0" fillId="38" borderId="0" xfId="0" applyFill="1" applyAlignment="1">
      <alignment vertical="center"/>
    </xf>
    <xf numFmtId="170" fontId="0" fillId="4" borderId="16" xfId="0" applyNumberFormat="1" applyFont="1" applyFill="1" applyBorder="1" applyAlignment="1">
      <alignment vertical="center"/>
    </xf>
    <xf numFmtId="170" fontId="0" fillId="7" borderId="31" xfId="0" applyNumberFormat="1" applyFont="1" applyFill="1" applyBorder="1" applyAlignment="1">
      <alignment vertical="center"/>
    </xf>
    <xf numFmtId="0" fontId="29" fillId="0" borderId="28" xfId="0" applyFont="1" applyBorder="1" applyAlignment="1">
      <alignment vertical="center"/>
    </xf>
    <xf numFmtId="0" fontId="29" fillId="0" borderId="28" xfId="0" applyFont="1" applyFill="1" applyBorder="1" applyAlignment="1">
      <alignment vertical="center"/>
    </xf>
    <xf numFmtId="0" fontId="29" fillId="0" borderId="28" xfId="0" applyFont="1" applyBorder="1" applyAlignment="1">
      <alignment horizontal="left" vertical="center"/>
    </xf>
    <xf numFmtId="0" fontId="20" fillId="34" borderId="33" xfId="42" applyFont="1" applyFill="1" applyBorder="1" applyAlignment="1">
      <alignment horizontal="left" vertical="center" wrapText="1"/>
    </xf>
    <xf numFmtId="0" fontId="0" fillId="0" borderId="33" xfId="42" applyFont="1" applyBorder="1" applyAlignment="1">
      <alignment horizontal="left" vertical="center" wrapText="1"/>
    </xf>
    <xf numFmtId="0" fontId="27" fillId="0" borderId="52" xfId="0" applyFont="1" applyBorder="1" applyAlignment="1"/>
    <xf numFmtId="0" fontId="0" fillId="0" borderId="50" xfId="0" applyBorder="1" applyAlignment="1"/>
    <xf numFmtId="0" fontId="19" fillId="0" borderId="54" xfId="0" applyFont="1" applyBorder="1" applyAlignment="1">
      <alignment horizontal="left"/>
    </xf>
    <xf numFmtId="0" fontId="0" fillId="0" borderId="48" xfId="0" applyBorder="1" applyAlignment="1"/>
    <xf numFmtId="0" fontId="20" fillId="0" borderId="41" xfId="0" applyFont="1" applyFill="1" applyBorder="1" applyAlignment="1">
      <alignment horizontal="center" vertical="center" wrapText="1"/>
    </xf>
    <xf numFmtId="0" fontId="0" fillId="0" borderId="41" xfId="0" applyBorder="1" applyAlignment="1">
      <alignment vertical="center"/>
    </xf>
    <xf numFmtId="0" fontId="0" fillId="0" borderId="36" xfId="0" applyBorder="1" applyAlignment="1">
      <alignment vertical="center"/>
    </xf>
    <xf numFmtId="0" fontId="0" fillId="0" borderId="51" xfId="42" applyFont="1" applyBorder="1" applyAlignment="1">
      <alignment horizontal="left" vertical="center" wrapText="1"/>
    </xf>
    <xf numFmtId="0" fontId="0" fillId="0" borderId="38" xfId="42" applyFont="1" applyBorder="1" applyAlignment="1">
      <alignment horizontal="left" vertical="center" wrapText="1"/>
    </xf>
    <xf numFmtId="0" fontId="0" fillId="0" borderId="49" xfId="42" applyFont="1" applyBorder="1" applyAlignment="1">
      <alignment horizontal="left" vertical="center" wrapText="1"/>
    </xf>
    <xf numFmtId="0" fontId="23" fillId="0" borderId="33" xfId="42" applyFont="1" applyBorder="1" applyAlignment="1">
      <alignment horizontal="left" vertical="center" wrapText="1"/>
    </xf>
    <xf numFmtId="0" fontId="23" fillId="0" borderId="0" xfId="42" applyFont="1" applyBorder="1" applyAlignment="1">
      <alignment horizontal="left" vertical="top" wrapText="1"/>
    </xf>
    <xf numFmtId="0" fontId="25" fillId="35" borderId="51" xfId="42" applyFont="1" applyFill="1" applyBorder="1" applyAlignment="1">
      <alignment horizontal="center" vertical="top" wrapText="1"/>
    </xf>
    <xf numFmtId="0" fontId="25" fillId="35" borderId="38" xfId="42" applyFont="1" applyFill="1" applyBorder="1" applyAlignment="1">
      <alignment horizontal="center" vertical="top" wrapText="1"/>
    </xf>
    <xf numFmtId="0" fontId="25" fillId="35" borderId="49" xfId="42" applyFont="1" applyFill="1" applyBorder="1" applyAlignment="1">
      <alignment horizontal="center" vertical="top" wrapText="1"/>
    </xf>
    <xf numFmtId="0" fontId="20" fillId="0" borderId="47" xfId="0" applyFont="1" applyBorder="1" applyAlignment="1">
      <alignment horizontal="center" vertical="center"/>
    </xf>
    <xf numFmtId="0" fontId="0" fillId="0" borderId="53" xfId="0" applyBorder="1" applyAlignment="1"/>
    <xf numFmtId="0" fontId="0" fillId="0" borderId="54" xfId="0" applyBorder="1" applyAlignment="1"/>
    <xf numFmtId="0" fontId="23" fillId="0" borderId="0" xfId="42" applyBorder="1" applyAlignment="1">
      <alignment horizontal="left" vertical="top" wrapText="1"/>
    </xf>
    <xf numFmtId="0" fontId="20" fillId="8" borderId="30" xfId="0" applyFont="1" applyFill="1" applyBorder="1" applyAlignment="1">
      <alignment horizontal="center" vertical="center"/>
    </xf>
    <xf numFmtId="0" fontId="20" fillId="8" borderId="15" xfId="0" applyFont="1" applyFill="1" applyBorder="1" applyAlignment="1">
      <alignment horizontal="center" vertical="center"/>
    </xf>
    <xf numFmtId="0" fontId="20" fillId="8" borderId="32" xfId="0" applyFont="1" applyFill="1" applyBorder="1" applyAlignment="1">
      <alignment horizontal="center" vertical="center"/>
    </xf>
    <xf numFmtId="0" fontId="0" fillId="0" borderId="11" xfId="0" quotePrefix="1" applyFont="1" applyBorder="1" applyAlignment="1">
      <alignment horizontal="left" vertical="top" wrapText="1"/>
    </xf>
    <xf numFmtId="0" fontId="0" fillId="0" borderId="11" xfId="0" applyFont="1" applyBorder="1" applyAlignment="1">
      <alignment horizontal="left" vertical="top"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43" xr:uid="{00000000-0005-0000-0000-00001B000000}"/>
    <cellStyle name="Excel Built-in Normal" xfId="44"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xr:uid="{00000000-0005-0000-0000-00002700000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123824</xdr:colOff>
      <xdr:row>2</xdr:row>
      <xdr:rowOff>133352</xdr:rowOff>
    </xdr:from>
    <xdr:to>
      <xdr:col>2</xdr:col>
      <xdr:colOff>1421129</xdr:colOff>
      <xdr:row>6</xdr:row>
      <xdr:rowOff>97597</xdr:rowOff>
    </xdr:to>
    <xdr:pic>
      <xdr:nvPicPr>
        <xdr:cNvPr id="3" name="Picture 3" descr="LSST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8599" y="419102"/>
          <a:ext cx="2011680" cy="61194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lac-my.sharepoint.com/Users/riot1/AppData/Local/Temp/LCA-18_Throughput_Budget_2012-05-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lac-my.sharepoint.com/DOCUME~1/riot1/LOCALS~1/Temp/Downloads/ObsoleteAndSourceInfo/LSST1.IQ,%20bjb%20mo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Budget"/>
      <sheetName val="Related items"/>
    </sheetNames>
    <sheetDataSet>
      <sheetData sheetId="0">
        <row r="2">
          <cell r="B2" t="str">
            <v>LCA-18 DRAFT</v>
          </cell>
        </row>
        <row r="3">
          <cell r="B3" t="str">
            <v>LSST Camera Throughput Budget</v>
          </cell>
        </row>
        <row r="5">
          <cell r="C5" t="str">
            <v>Theoretical-Empirical Best Case</v>
          </cell>
          <cell r="I5" t="str">
            <v>Margin</v>
          </cell>
          <cell r="J5" t="str">
            <v>Specification</v>
          </cell>
        </row>
        <row r="6">
          <cell r="E6" t="str">
            <v>Wavelength (nm)</v>
          </cell>
          <cell r="L6" t="str">
            <v>Wavelength (nm)</v>
          </cell>
        </row>
        <row r="7">
          <cell r="B7" t="str">
            <v>term \ band</v>
          </cell>
          <cell r="C7" t="str">
            <v>U</v>
          </cell>
          <cell r="D7" t="str">
            <v>G</v>
          </cell>
          <cell r="E7" t="str">
            <v>R</v>
          </cell>
          <cell r="F7" t="str">
            <v>I</v>
          </cell>
          <cell r="G7" t="str">
            <v>Z</v>
          </cell>
          <cell r="H7" t="str">
            <v>Y</v>
          </cell>
          <cell r="J7" t="str">
            <v>u</v>
          </cell>
          <cell r="K7" t="str">
            <v>g</v>
          </cell>
          <cell r="L7" t="str">
            <v>r</v>
          </cell>
          <cell r="M7" t="str">
            <v>i</v>
          </cell>
          <cell r="N7" t="str">
            <v>z</v>
          </cell>
          <cell r="O7" t="str">
            <v>y4</v>
          </cell>
          <cell r="Q7" t="str">
            <v>Alloc. to:</v>
          </cell>
          <cell r="R7" t="str">
            <v>Description / Comment</v>
          </cell>
          <cell r="S7" t="str">
            <v>Analysis Doc/Backup Doc</v>
          </cell>
        </row>
        <row r="9">
          <cell r="B9" t="str">
            <v>Camera Allocation</v>
          </cell>
        </row>
        <row r="10">
          <cell r="B10" t="str">
            <v>Margin</v>
          </cell>
        </row>
        <row r="11">
          <cell r="B11" t="str">
            <v>Camera Total Bottom's-Up</v>
          </cell>
        </row>
        <row r="12">
          <cell r="B12" t="str">
            <v>Lens L1</v>
          </cell>
        </row>
        <row r="13">
          <cell r="B13" t="str">
            <v xml:space="preserve">Glass </v>
          </cell>
        </row>
        <row r="14">
          <cell r="B14" t="str">
            <v>BBAR Coating</v>
          </cell>
        </row>
        <row r="15">
          <cell r="B15" t="str">
            <v>Beginning-of-Life Degradation</v>
          </cell>
        </row>
        <row r="16">
          <cell r="B16" t="str">
            <v>Secular Degradation</v>
          </cell>
        </row>
        <row r="17">
          <cell r="B17" t="str">
            <v>First Surface Contamination Effects</v>
          </cell>
        </row>
        <row r="18">
          <cell r="B18" t="str">
            <v>First Surface Condensation Effects</v>
          </cell>
        </row>
        <row r="19">
          <cell r="B19" t="str">
            <v>Second Surface Contamination Effects</v>
          </cell>
        </row>
        <row r="20">
          <cell r="B20" t="str">
            <v>Second Surface Condensation Effects</v>
          </cell>
        </row>
        <row r="21">
          <cell r="B21" t="str">
            <v>Lens L2</v>
          </cell>
        </row>
        <row r="22">
          <cell r="B22" t="str">
            <v xml:space="preserve">Glass </v>
          </cell>
        </row>
        <row r="23">
          <cell r="B23" t="str">
            <v>BBAR Coating</v>
          </cell>
        </row>
        <row r="24">
          <cell r="B24" t="str">
            <v>Beginning-of-Life Degradation</v>
          </cell>
        </row>
        <row r="25">
          <cell r="B25" t="str">
            <v>Secular Degradation</v>
          </cell>
        </row>
        <row r="26">
          <cell r="B26" t="str">
            <v>First Surface Contamination Effects</v>
          </cell>
        </row>
        <row r="27">
          <cell r="B27" t="str">
            <v>First Surface Condensation Effects</v>
          </cell>
        </row>
        <row r="28">
          <cell r="B28" t="str">
            <v>Second Surface Contamination Effects</v>
          </cell>
        </row>
        <row r="29">
          <cell r="B29" t="str">
            <v>Second Surface Condensation Effects</v>
          </cell>
        </row>
        <row r="30">
          <cell r="B30" t="str">
            <v>Lens L3</v>
          </cell>
        </row>
        <row r="31">
          <cell r="B31" t="str">
            <v xml:space="preserve">Glass </v>
          </cell>
        </row>
        <row r="32">
          <cell r="B32" t="str">
            <v>BBAR Coating</v>
          </cell>
        </row>
        <row r="33">
          <cell r="B33" t="str">
            <v>Beginning-of-Life Degradation</v>
          </cell>
        </row>
        <row r="34">
          <cell r="B34" t="str">
            <v>Secular Degradation</v>
          </cell>
        </row>
        <row r="35">
          <cell r="B35" t="str">
            <v>First Surface Contamination Effects</v>
          </cell>
        </row>
        <row r="36">
          <cell r="B36" t="str">
            <v>First Surface Condensation Effects</v>
          </cell>
        </row>
        <row r="37">
          <cell r="B37" t="str">
            <v>Second Surface Contamination Effects</v>
          </cell>
        </row>
        <row r="38">
          <cell r="B38" t="str">
            <v>Second Surface Condensation Effects</v>
          </cell>
        </row>
        <row r="39">
          <cell r="B39" t="str">
            <v>Filter</v>
          </cell>
        </row>
        <row r="40">
          <cell r="B40" t="str">
            <v xml:space="preserve">Glass </v>
          </cell>
        </row>
        <row r="41">
          <cell r="B41" t="str">
            <v>AR + Filter Coating</v>
          </cell>
        </row>
        <row r="42">
          <cell r="B42" t="str">
            <v>(AR/Filter coating – vendor input)</v>
          </cell>
        </row>
        <row r="43">
          <cell r="B43" t="str">
            <v>Beginning-of-Life Degradation</v>
          </cell>
        </row>
        <row r="44">
          <cell r="B44" t="str">
            <v>Secular Degradation</v>
          </cell>
        </row>
        <row r="45">
          <cell r="B45" t="str">
            <v>First Surface Contamination Effects</v>
          </cell>
        </row>
        <row r="46">
          <cell r="B46" t="str">
            <v>First Surface Condensation Effects</v>
          </cell>
        </row>
        <row r="47">
          <cell r="B47" t="str">
            <v>Second Surface Contamination Effects</v>
          </cell>
        </row>
        <row r="48">
          <cell r="B48" t="str">
            <v>Second Surface Condensation Effects</v>
          </cell>
        </row>
        <row r="49">
          <cell r="B49" t="str">
            <v>Detectors</v>
          </cell>
        </row>
        <row r="50">
          <cell r="B50" t="str">
            <v>QE + BBAR Coating</v>
          </cell>
        </row>
        <row r="51">
          <cell r="B51" t="str">
            <v>Contamination Effects</v>
          </cell>
        </row>
        <row r="52">
          <cell r="B52" t="str">
            <v>Condensation Effects</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lipticity Budge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47"/>
  <sheetViews>
    <sheetView showGridLines="0" zoomScaleNormal="100" zoomScalePageLayoutView="70" workbookViewId="0">
      <selection activeCell="N22" sqref="N22"/>
    </sheetView>
  </sheetViews>
  <sheetFormatPr defaultColWidth="23.28515625" defaultRowHeight="12.75"/>
  <cols>
    <col min="1" max="1" width="1.5703125" style="3" customWidth="1"/>
    <col min="2" max="2" width="13.140625" style="3" customWidth="1"/>
    <col min="3" max="3" width="22.7109375" style="3" customWidth="1"/>
    <col min="4" max="4" width="39" style="3" customWidth="1"/>
    <col min="5" max="5" width="18.42578125" style="3" customWidth="1"/>
    <col min="6" max="6" width="3.7109375" style="3" customWidth="1"/>
    <col min="7" max="252" width="8.28515625" style="3" customWidth="1"/>
    <col min="253" max="253" width="1.5703125" style="3" customWidth="1"/>
    <col min="254" max="254" width="10.7109375" style="3" customWidth="1"/>
    <col min="255" max="255" width="31.42578125" style="3" customWidth="1"/>
    <col min="256" max="16384" width="23.28515625" style="3"/>
  </cols>
  <sheetData>
    <row r="2" spans="2:5" customFormat="1" ht="9.75" customHeight="1">
      <c r="B2" s="13"/>
      <c r="C2" s="14"/>
      <c r="D2" s="367" t="s">
        <v>219</v>
      </c>
      <c r="E2" s="368"/>
    </row>
    <row r="3" spans="2:5" customFormat="1" ht="15.75">
      <c r="B3" s="16"/>
      <c r="C3" s="17"/>
      <c r="D3" s="369" t="s">
        <v>581</v>
      </c>
      <c r="E3" s="370"/>
    </row>
    <row r="4" spans="2:5" customFormat="1" ht="9.75" customHeight="1">
      <c r="B4" s="16"/>
      <c r="C4" s="17"/>
      <c r="D4" s="19" t="s">
        <v>218</v>
      </c>
      <c r="E4" s="15" t="s">
        <v>247</v>
      </c>
    </row>
    <row r="5" spans="2:5" customFormat="1">
      <c r="B5" s="16"/>
      <c r="C5" s="17"/>
      <c r="D5" s="20" t="s">
        <v>248</v>
      </c>
      <c r="E5" s="371" t="s">
        <v>582</v>
      </c>
    </row>
    <row r="6" spans="2:5" customFormat="1" ht="28.5" customHeight="1">
      <c r="B6" s="16"/>
      <c r="C6" s="17"/>
      <c r="D6" s="353" t="s">
        <v>517</v>
      </c>
      <c r="E6" s="372"/>
    </row>
    <row r="7" spans="2:5" customFormat="1" ht="24" customHeight="1">
      <c r="B7" s="16"/>
      <c r="C7" s="17"/>
      <c r="D7" s="352"/>
      <c r="E7" s="373"/>
    </row>
    <row r="8" spans="2:5" customFormat="1" ht="9.75" customHeight="1">
      <c r="B8" s="382"/>
      <c r="C8" s="383"/>
      <c r="D8" s="19" t="s">
        <v>217</v>
      </c>
      <c r="E8" s="17"/>
    </row>
    <row r="9" spans="2:5" customFormat="1">
      <c r="B9" s="384"/>
      <c r="C9" s="370"/>
      <c r="D9" s="21" t="s">
        <v>216</v>
      </c>
      <c r="E9" s="22"/>
    </row>
    <row r="10" spans="2:5" customFormat="1" ht="9.75" customHeight="1">
      <c r="B10" s="19" t="s">
        <v>215</v>
      </c>
      <c r="C10" s="1"/>
      <c r="D10" s="1"/>
      <c r="E10" s="17"/>
    </row>
    <row r="11" spans="2:5" customFormat="1" ht="15.75">
      <c r="B11" s="18" t="s">
        <v>214</v>
      </c>
      <c r="C11" s="2"/>
      <c r="D11" s="23"/>
      <c r="E11" s="24"/>
    </row>
    <row r="12" spans="2:5">
      <c r="B12" s="4"/>
      <c r="C12" s="4"/>
      <c r="D12" s="4"/>
      <c r="E12" s="4"/>
    </row>
    <row r="13" spans="2:5">
      <c r="B13" s="9" t="s">
        <v>213</v>
      </c>
      <c r="C13" s="4"/>
      <c r="D13" s="4"/>
      <c r="E13" s="4"/>
    </row>
    <row r="14" spans="2:5" ht="30" customHeight="1">
      <c r="B14" s="11"/>
      <c r="C14" s="378" t="s">
        <v>212</v>
      </c>
      <c r="D14" s="378"/>
      <c r="E14" s="378"/>
    </row>
    <row r="15" spans="2:5" ht="12.75" customHeight="1">
      <c r="B15" s="9" t="s">
        <v>211</v>
      </c>
      <c r="C15" s="385"/>
      <c r="D15" s="385"/>
      <c r="E15" s="385"/>
    </row>
    <row r="16" spans="2:5">
      <c r="B16" s="10"/>
      <c r="C16" s="10"/>
      <c r="D16" s="10"/>
      <c r="E16" s="10"/>
    </row>
    <row r="17" spans="2:5" ht="12.75" customHeight="1">
      <c r="B17" s="9" t="s">
        <v>210</v>
      </c>
      <c r="C17" s="385"/>
      <c r="D17" s="385"/>
      <c r="E17" s="385"/>
    </row>
    <row r="18" spans="2:5" ht="12.75" customHeight="1">
      <c r="B18" s="4"/>
      <c r="C18" s="385"/>
      <c r="D18" s="385"/>
      <c r="E18" s="385"/>
    </row>
    <row r="19" spans="2:5">
      <c r="B19" s="8" t="s">
        <v>209</v>
      </c>
      <c r="C19" s="7"/>
      <c r="D19" s="6"/>
      <c r="E19" s="4"/>
    </row>
    <row r="20" spans="2:5" ht="12.75" customHeight="1">
      <c r="B20" s="5"/>
      <c r="C20" s="378"/>
      <c r="D20" s="378"/>
      <c r="E20" s="378"/>
    </row>
    <row r="21" spans="2:5" ht="12.75" customHeight="1">
      <c r="B21" s="12"/>
      <c r="C21" s="379" t="s">
        <v>208</v>
      </c>
      <c r="D21" s="380"/>
      <c r="E21" s="381"/>
    </row>
    <row r="22" spans="2:5">
      <c r="B22" s="26"/>
      <c r="C22" s="365" t="s">
        <v>583</v>
      </c>
      <c r="D22" s="365"/>
      <c r="E22" s="365"/>
    </row>
    <row r="23" spans="2:5">
      <c r="B23" s="25"/>
      <c r="C23" s="366"/>
      <c r="D23" s="366"/>
      <c r="E23" s="366"/>
    </row>
    <row r="24" spans="2:5">
      <c r="B24" s="25"/>
      <c r="C24" s="366"/>
      <c r="D24" s="366"/>
      <c r="E24" s="366"/>
    </row>
    <row r="25" spans="2:5" ht="57" customHeight="1">
      <c r="B25" s="25">
        <v>43644</v>
      </c>
      <c r="C25" s="366" t="s">
        <v>584</v>
      </c>
      <c r="D25" s="366"/>
      <c r="E25" s="366"/>
    </row>
    <row r="26" spans="2:5">
      <c r="B26" s="26"/>
      <c r="C26" s="365" t="s">
        <v>562</v>
      </c>
      <c r="D26" s="365"/>
      <c r="E26" s="365"/>
    </row>
    <row r="27" spans="2:5">
      <c r="B27" s="25">
        <v>43578</v>
      </c>
      <c r="C27" s="366" t="s">
        <v>579</v>
      </c>
      <c r="D27" s="366"/>
      <c r="E27" s="366"/>
    </row>
    <row r="28" spans="2:5" ht="57" customHeight="1">
      <c r="B28" s="25">
        <v>43563</v>
      </c>
      <c r="C28" s="366" t="s">
        <v>578</v>
      </c>
      <c r="D28" s="366"/>
      <c r="E28" s="366"/>
    </row>
    <row r="29" spans="2:5">
      <c r="B29" s="25">
        <v>43476</v>
      </c>
      <c r="C29" s="366" t="s">
        <v>564</v>
      </c>
      <c r="D29" s="366"/>
      <c r="E29" s="366"/>
    </row>
    <row r="30" spans="2:5" ht="57" customHeight="1">
      <c r="B30" s="25">
        <v>43252</v>
      </c>
      <c r="C30" s="366" t="s">
        <v>563</v>
      </c>
      <c r="D30" s="366"/>
      <c r="E30" s="366"/>
    </row>
    <row r="31" spans="2:5">
      <c r="B31" s="26"/>
      <c r="C31" s="365" t="s">
        <v>522</v>
      </c>
      <c r="D31" s="365"/>
      <c r="E31" s="365"/>
    </row>
    <row r="32" spans="2:5">
      <c r="B32" s="25">
        <v>42453</v>
      </c>
      <c r="C32" s="366" t="s">
        <v>526</v>
      </c>
      <c r="D32" s="366"/>
      <c r="E32" s="366"/>
    </row>
    <row r="33" spans="2:5" ht="38.25" customHeight="1">
      <c r="B33" s="25">
        <v>42401</v>
      </c>
      <c r="C33" s="374" t="s">
        <v>524</v>
      </c>
      <c r="D33" s="375"/>
      <c r="E33" s="376"/>
    </row>
    <row r="34" spans="2:5" ht="57" customHeight="1">
      <c r="B34" s="25">
        <v>42391</v>
      </c>
      <c r="C34" s="366" t="s">
        <v>523</v>
      </c>
      <c r="D34" s="366"/>
      <c r="E34" s="366"/>
    </row>
    <row r="35" spans="2:5">
      <c r="B35" s="26"/>
      <c r="C35" s="365" t="s">
        <v>405</v>
      </c>
      <c r="D35" s="365"/>
      <c r="E35" s="365"/>
    </row>
    <row r="36" spans="2:5">
      <c r="B36" s="25">
        <v>42184</v>
      </c>
      <c r="C36" s="366" t="s">
        <v>516</v>
      </c>
      <c r="D36" s="366"/>
      <c r="E36" s="366"/>
    </row>
    <row r="37" spans="2:5" ht="57" customHeight="1">
      <c r="B37" s="25">
        <v>42132</v>
      </c>
      <c r="C37" s="366" t="s">
        <v>436</v>
      </c>
      <c r="D37" s="366"/>
      <c r="E37" s="366"/>
    </row>
    <row r="38" spans="2:5">
      <c r="B38" s="26"/>
      <c r="C38" s="365" t="s">
        <v>249</v>
      </c>
      <c r="D38" s="365"/>
      <c r="E38" s="365"/>
    </row>
    <row r="39" spans="2:5" ht="31.5" customHeight="1">
      <c r="B39" s="25">
        <v>42046</v>
      </c>
      <c r="C39" s="366" t="s">
        <v>402</v>
      </c>
      <c r="D39" s="366"/>
      <c r="E39" s="366"/>
    </row>
    <row r="40" spans="2:5" ht="50.25" customHeight="1">
      <c r="B40" s="25">
        <v>41898</v>
      </c>
      <c r="C40" s="366" t="s">
        <v>400</v>
      </c>
      <c r="D40" s="366"/>
      <c r="E40" s="366"/>
    </row>
    <row r="41" spans="2:5" ht="126" customHeight="1">
      <c r="B41" s="25">
        <v>41704</v>
      </c>
      <c r="C41" s="366" t="s">
        <v>328</v>
      </c>
      <c r="D41" s="366"/>
      <c r="E41" s="366"/>
    </row>
    <row r="42" spans="2:5" ht="32.25" customHeight="1">
      <c r="B42" s="25">
        <v>41688</v>
      </c>
      <c r="C42" s="366" t="s">
        <v>276</v>
      </c>
      <c r="D42" s="366"/>
      <c r="E42" s="366"/>
    </row>
    <row r="43" spans="2:5">
      <c r="B43" s="26"/>
      <c r="C43" s="365" t="s">
        <v>246</v>
      </c>
      <c r="D43" s="365"/>
      <c r="E43" s="365"/>
    </row>
    <row r="44" spans="2:5" ht="39" customHeight="1">
      <c r="B44" s="25">
        <v>41382</v>
      </c>
      <c r="C44" s="366" t="s">
        <v>242</v>
      </c>
      <c r="D44" s="377"/>
      <c r="E44" s="377"/>
    </row>
    <row r="45" spans="2:5" ht="27" customHeight="1">
      <c r="B45" s="25">
        <v>41047</v>
      </c>
      <c r="C45" s="366" t="s">
        <v>220</v>
      </c>
      <c r="D45" s="377"/>
      <c r="E45" s="377"/>
    </row>
    <row r="46" spans="2:5" ht="12.75" customHeight="1">
      <c r="B46" s="25">
        <v>41047</v>
      </c>
      <c r="C46" s="366" t="s">
        <v>221</v>
      </c>
      <c r="D46" s="377"/>
      <c r="E46" s="377"/>
    </row>
    <row r="47" spans="2:5">
      <c r="B47" s="25"/>
      <c r="C47" s="377"/>
      <c r="D47" s="377"/>
      <c r="E47" s="377"/>
    </row>
  </sheetData>
  <mergeCells count="36">
    <mergeCell ref="C39:E39"/>
    <mergeCell ref="C40:E40"/>
    <mergeCell ref="C20:E20"/>
    <mergeCell ref="C21:E21"/>
    <mergeCell ref="B8:C9"/>
    <mergeCell ref="C27:E27"/>
    <mergeCell ref="C14:E14"/>
    <mergeCell ref="C37:E37"/>
    <mergeCell ref="C15:E15"/>
    <mergeCell ref="C17:E17"/>
    <mergeCell ref="C18:E18"/>
    <mergeCell ref="C35:E35"/>
    <mergeCell ref="C36:E36"/>
    <mergeCell ref="C32:E32"/>
    <mergeCell ref="C31:E31"/>
    <mergeCell ref="C34:E34"/>
    <mergeCell ref="C47:E47"/>
    <mergeCell ref="C45:E45"/>
    <mergeCell ref="C46:E46"/>
    <mergeCell ref="C44:E44"/>
    <mergeCell ref="C41:E41"/>
    <mergeCell ref="C42:E42"/>
    <mergeCell ref="C43:E43"/>
    <mergeCell ref="C38:E38"/>
    <mergeCell ref="C30:E30"/>
    <mergeCell ref="C28:E28"/>
    <mergeCell ref="D2:E2"/>
    <mergeCell ref="D3:E3"/>
    <mergeCell ref="E5:E7"/>
    <mergeCell ref="C33:E33"/>
    <mergeCell ref="C26:E26"/>
    <mergeCell ref="C29:E29"/>
    <mergeCell ref="C22:E22"/>
    <mergeCell ref="C23:E23"/>
    <mergeCell ref="C24:E24"/>
    <mergeCell ref="C25:E25"/>
  </mergeCells>
  <pageMargins left="0.25" right="0.25" top="0.5" bottom="0.5" header="0.51180555555555596" footer="0.25"/>
  <pageSetup paperSize="3" firstPageNumber="0" orientation="landscape" horizontalDpi="300" verticalDpi="300" r:id="rId1"/>
  <headerFooter alignWithMargins="0">
    <oddFooter>&amp;L&amp;F&amp;CHard copies of this document are for REFERENCE ONLY and should not be considered the latest version beyond the date of printing.&amp;R&amp;P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AH254"/>
  <sheetViews>
    <sheetView showGridLines="0" tabSelected="1" topLeftCell="B1" zoomScale="80" zoomScaleNormal="80" zoomScaleSheetLayoutView="70" zoomScalePageLayoutView="25" workbookViewId="0">
      <pane ySplit="7" topLeftCell="A8" activePane="bottomLeft" state="frozen"/>
      <selection pane="bottomLeft" activeCell="R68" sqref="R68"/>
    </sheetView>
  </sheetViews>
  <sheetFormatPr defaultRowHeight="12.75" outlineLevelRow="3"/>
  <cols>
    <col min="1" max="1" width="1.7109375" style="65" customWidth="1"/>
    <col min="2" max="2" width="4.7109375" style="46" customWidth="1"/>
    <col min="3" max="3" width="5.85546875" style="46" customWidth="1"/>
    <col min="4" max="4" width="55" style="46" customWidth="1"/>
    <col min="5" max="5" width="7.5703125" style="46" customWidth="1"/>
    <col min="6" max="6" width="7.5703125" style="326" customWidth="1"/>
    <col min="7" max="7" width="7.5703125" style="46" customWidth="1"/>
    <col min="8" max="8" width="7.85546875" style="46" customWidth="1"/>
    <col min="9" max="9" width="7.85546875" style="326" customWidth="1"/>
    <col min="10" max="10" width="7.42578125" style="46" customWidth="1"/>
    <col min="11" max="11" width="8.85546875" style="46" customWidth="1"/>
    <col min="12" max="12" width="8.85546875" style="326" customWidth="1"/>
    <col min="13" max="13" width="8.140625" style="46" customWidth="1"/>
    <col min="14" max="14" width="8" style="46" customWidth="1"/>
    <col min="15" max="15" width="7.85546875" style="46" customWidth="1"/>
    <col min="16" max="16" width="14.5703125" style="219" customWidth="1"/>
    <col min="17" max="17" width="14.7109375" style="219" customWidth="1"/>
    <col min="18" max="18" width="55.85546875" style="225" customWidth="1"/>
    <col min="19" max="19" width="67.7109375" style="225" customWidth="1"/>
    <col min="20" max="20" width="38.42578125" style="45" customWidth="1"/>
    <col min="21" max="21" width="9.42578125" style="226" customWidth="1"/>
    <col min="22" max="22" width="14.7109375" style="226" customWidth="1"/>
    <col min="23" max="24" width="18" style="46" customWidth="1"/>
    <col min="25" max="25" width="12" style="46" customWidth="1"/>
    <col min="26" max="26" width="51.42578125" style="45" customWidth="1"/>
    <col min="27" max="16384" width="9.140625" style="46"/>
  </cols>
  <sheetData>
    <row r="2" spans="1:34" s="203" customFormat="1" ht="15.75">
      <c r="A2" s="195"/>
      <c r="B2" s="196" t="str">
        <f>'Title Page'!D3</f>
        <v>LCA-00017-F</v>
      </c>
      <c r="C2" s="197"/>
      <c r="D2" s="197"/>
      <c r="E2" s="197"/>
      <c r="F2" s="197"/>
      <c r="G2" s="197"/>
      <c r="H2" s="197"/>
      <c r="I2" s="197"/>
      <c r="J2" s="197"/>
      <c r="K2" s="197"/>
      <c r="L2" s="197"/>
      <c r="M2" s="197"/>
      <c r="N2" s="197"/>
      <c r="O2" s="197"/>
      <c r="P2" s="198"/>
      <c r="Q2" s="198"/>
      <c r="R2" s="199"/>
      <c r="S2" s="199"/>
      <c r="T2" s="200"/>
      <c r="U2" s="201"/>
      <c r="V2" s="201"/>
      <c r="W2" s="197"/>
      <c r="X2" s="197"/>
      <c r="Y2" s="197"/>
      <c r="Z2" s="278"/>
      <c r="AA2" s="202"/>
    </row>
    <row r="3" spans="1:34" s="203" customFormat="1" ht="18">
      <c r="A3" s="195"/>
      <c r="B3" s="204" t="str">
        <f>'Title Page'!B11</f>
        <v>Image Quality Error Tree</v>
      </c>
      <c r="C3" s="205"/>
      <c r="D3" s="205"/>
      <c r="E3" s="205"/>
      <c r="F3" s="205"/>
      <c r="G3" s="205"/>
      <c r="H3" s="205"/>
      <c r="I3" s="205"/>
      <c r="J3" s="205"/>
      <c r="K3" s="205"/>
      <c r="L3" s="205"/>
      <c r="M3" s="205"/>
      <c r="N3" s="205"/>
      <c r="O3" s="205"/>
      <c r="P3" s="206"/>
      <c r="Q3" s="206"/>
      <c r="R3" s="207"/>
      <c r="S3" s="207"/>
      <c r="T3" s="208"/>
      <c r="U3" s="209"/>
      <c r="V3" s="209"/>
      <c r="W3" s="205"/>
      <c r="X3" s="205"/>
      <c r="Y3" s="205"/>
      <c r="Z3" s="279"/>
      <c r="AA3" s="202"/>
    </row>
    <row r="4" spans="1:34" s="38" customFormat="1" ht="13.5" thickBot="1">
      <c r="A4" s="48"/>
      <c r="B4" s="210"/>
      <c r="C4" s="211"/>
      <c r="D4" s="212"/>
      <c r="E4" s="212"/>
      <c r="F4" s="212"/>
      <c r="G4" s="212"/>
      <c r="H4" s="212"/>
      <c r="I4" s="212"/>
      <c r="J4" s="212"/>
      <c r="K4" s="212"/>
      <c r="L4" s="212"/>
      <c r="M4" s="212"/>
      <c r="N4" s="212"/>
      <c r="O4" s="212"/>
      <c r="P4" s="213"/>
      <c r="Q4" s="213"/>
      <c r="R4" s="214"/>
      <c r="S4" s="214"/>
      <c r="T4" s="192"/>
      <c r="U4" s="215"/>
      <c r="V4" s="215"/>
      <c r="W4" s="212"/>
      <c r="X4" s="212"/>
      <c r="Y4" s="212"/>
      <c r="Z4" s="280"/>
    </row>
    <row r="5" spans="1:34" s="38" customFormat="1" ht="13.5" thickBot="1">
      <c r="A5" s="216"/>
      <c r="B5" s="217" t="s">
        <v>207</v>
      </c>
      <c r="C5" s="218"/>
      <c r="D5" s="218"/>
      <c r="E5" s="40" t="s">
        <v>0</v>
      </c>
      <c r="F5" s="354" t="s">
        <v>527</v>
      </c>
      <c r="G5" s="41" t="s">
        <v>1</v>
      </c>
      <c r="I5" s="324"/>
      <c r="L5" s="324"/>
      <c r="P5" s="219"/>
      <c r="Q5" s="219"/>
      <c r="R5" s="389" t="s">
        <v>547</v>
      </c>
      <c r="S5" s="390"/>
      <c r="T5" s="390"/>
      <c r="U5" s="390"/>
      <c r="V5" s="390"/>
      <c r="Z5" s="193"/>
    </row>
    <row r="6" spans="1:34" s="38" customFormat="1">
      <c r="A6" s="27"/>
      <c r="B6" s="39"/>
      <c r="C6" s="39"/>
      <c r="D6" s="39"/>
      <c r="E6" s="221"/>
      <c r="F6" s="221"/>
      <c r="G6" s="29"/>
      <c r="H6" s="221"/>
      <c r="I6" s="221"/>
      <c r="J6" s="29"/>
      <c r="K6" s="221"/>
      <c r="L6" s="221"/>
      <c r="M6" s="29"/>
      <c r="N6" s="221"/>
      <c r="O6" s="29"/>
      <c r="P6" s="222"/>
      <c r="Q6" s="222"/>
      <c r="R6" s="220"/>
      <c r="S6" s="220"/>
      <c r="T6" s="193"/>
      <c r="U6" s="37"/>
      <c r="V6" s="37"/>
      <c r="Z6" s="193"/>
    </row>
    <row r="7" spans="1:34" s="38" customFormat="1" ht="38.25">
      <c r="A7" s="27"/>
      <c r="B7" s="39"/>
      <c r="C7" s="39"/>
      <c r="D7" s="39"/>
      <c r="E7" s="386" t="s">
        <v>2</v>
      </c>
      <c r="F7" s="387"/>
      <c r="G7" s="388"/>
      <c r="H7" s="386" t="s">
        <v>3</v>
      </c>
      <c r="I7" s="387"/>
      <c r="J7" s="388"/>
      <c r="K7" s="386" t="s">
        <v>4</v>
      </c>
      <c r="L7" s="387"/>
      <c r="M7" s="388"/>
      <c r="N7" s="386" t="s">
        <v>5</v>
      </c>
      <c r="O7" s="388"/>
      <c r="P7" s="223" t="s">
        <v>533</v>
      </c>
      <c r="Q7" s="223" t="s">
        <v>532</v>
      </c>
      <c r="R7" s="194" t="s">
        <v>530</v>
      </c>
      <c r="S7" s="194" t="s">
        <v>528</v>
      </c>
      <c r="T7" s="194" t="s">
        <v>529</v>
      </c>
      <c r="U7" s="194" t="s">
        <v>318</v>
      </c>
      <c r="V7" s="224" t="s">
        <v>6</v>
      </c>
      <c r="W7" s="194" t="s">
        <v>319</v>
      </c>
      <c r="X7" s="194" t="s">
        <v>321</v>
      </c>
      <c r="Y7" s="224" t="s">
        <v>7</v>
      </c>
      <c r="Z7" s="194" t="s">
        <v>315</v>
      </c>
    </row>
    <row r="8" spans="1:34" s="38" customFormat="1" ht="13.5" thickBot="1">
      <c r="A8" s="27"/>
      <c r="B8" s="28"/>
      <c r="C8" s="29"/>
      <c r="D8" s="30"/>
      <c r="E8" s="31"/>
      <c r="F8" s="31"/>
      <c r="G8" s="31"/>
      <c r="H8" s="31"/>
      <c r="I8" s="31"/>
      <c r="J8" s="31"/>
      <c r="K8" s="31"/>
      <c r="L8" s="31"/>
      <c r="M8" s="31"/>
      <c r="N8" s="32"/>
      <c r="O8" s="32"/>
      <c r="P8" s="33"/>
      <c r="Q8" s="33"/>
      <c r="R8" s="35"/>
      <c r="S8" s="35"/>
      <c r="T8" s="36"/>
      <c r="U8" s="37"/>
      <c r="V8" s="37"/>
      <c r="Z8" s="193"/>
    </row>
    <row r="9" spans="1:34" s="38" customFormat="1" ht="13.5" thickBot="1">
      <c r="A9" s="27"/>
      <c r="B9" s="39" t="s">
        <v>8</v>
      </c>
      <c r="E9" s="40">
        <v>0.3</v>
      </c>
      <c r="F9" s="354">
        <f>F11</f>
        <v>0.24831994759302933</v>
      </c>
      <c r="G9" s="41">
        <f>G11</f>
        <v>0.22922528363796046</v>
      </c>
      <c r="I9" s="324"/>
      <c r="L9" s="324"/>
      <c r="N9" s="29"/>
      <c r="O9" s="29"/>
      <c r="P9" s="42">
        <f>E9/F9-1</f>
        <v>0.20811881166980961</v>
      </c>
      <c r="Q9" s="42">
        <f>E9/G9-1</f>
        <v>0.30875615132326084</v>
      </c>
      <c r="R9" s="44"/>
      <c r="S9" s="44"/>
      <c r="T9" s="45"/>
      <c r="U9" s="37"/>
      <c r="V9" s="37"/>
      <c r="Z9" s="193"/>
    </row>
    <row r="10" spans="1:34" s="38" customFormat="1" ht="13.5" thickBot="1">
      <c r="A10" s="27"/>
      <c r="F10" s="324"/>
      <c r="H10" s="48"/>
      <c r="I10" s="48"/>
      <c r="J10" s="48"/>
      <c r="K10" s="48"/>
      <c r="L10" s="48"/>
      <c r="M10" s="48"/>
      <c r="N10" s="48"/>
      <c r="O10" s="48"/>
      <c r="P10" s="33"/>
      <c r="Q10" s="33"/>
      <c r="R10" s="49"/>
      <c r="S10" s="49"/>
      <c r="T10" s="50"/>
      <c r="U10" s="37"/>
      <c r="V10" s="37"/>
      <c r="Z10" s="193"/>
    </row>
    <row r="11" spans="1:34" s="38" customFormat="1" ht="13.5" thickBot="1">
      <c r="A11" s="27"/>
      <c r="B11" s="51" t="s">
        <v>9</v>
      </c>
      <c r="C11" s="51"/>
      <c r="D11" s="51"/>
      <c r="E11" s="40">
        <f>SQRT(SUMSQ(E13,E81,E118,E157,E201,E217,E57))</f>
        <v>0.28225380619128498</v>
      </c>
      <c r="F11" s="354">
        <f>SQRT(SUMSQ(F13,F81,F118,F157,F201,F217,F57))</f>
        <v>0.24831994759302933</v>
      </c>
      <c r="G11" s="41">
        <f>SQRT(SUMSQ(G13,G81,G118,G157,G201,G217,G57))</f>
        <v>0.22922528363796046</v>
      </c>
      <c r="H11" s="32"/>
      <c r="I11" s="32"/>
      <c r="J11" s="32"/>
      <c r="K11" s="32"/>
      <c r="L11" s="32"/>
      <c r="M11" s="32"/>
      <c r="N11" s="32"/>
      <c r="O11" s="32"/>
      <c r="P11" s="42">
        <f>E11/F11-1</f>
        <v>0.13665377641698662</v>
      </c>
      <c r="Q11" s="42">
        <f>E11/G11-1</f>
        <v>0.23133801695749256</v>
      </c>
      <c r="R11" s="256"/>
      <c r="S11" s="256"/>
      <c r="T11" s="257"/>
      <c r="U11" s="258"/>
      <c r="V11" s="258"/>
      <c r="W11" s="259"/>
      <c r="X11" s="260"/>
      <c r="Y11" s="259"/>
      <c r="Z11" s="257"/>
      <c r="AH11" s="55"/>
    </row>
    <row r="12" spans="1:34" s="32" customFormat="1" ht="13.5" thickBot="1">
      <c r="B12" s="47"/>
      <c r="C12" s="47"/>
      <c r="D12" s="47"/>
      <c r="E12" s="54"/>
      <c r="F12" s="327"/>
      <c r="P12" s="33"/>
      <c r="Q12" s="33"/>
      <c r="R12" s="137"/>
      <c r="S12" s="137"/>
      <c r="T12" s="229"/>
      <c r="U12" s="54"/>
      <c r="V12" s="54"/>
      <c r="Z12" s="229"/>
      <c r="AH12" s="31"/>
    </row>
    <row r="13" spans="1:34" s="38" customFormat="1" ht="13.5" thickBot="1">
      <c r="A13" s="27"/>
      <c r="B13" s="56" t="s">
        <v>10</v>
      </c>
      <c r="C13" s="56"/>
      <c r="D13" s="56"/>
      <c r="E13" s="40">
        <f>SQRT(SUMSQ(H14,H22,H31,H46))</f>
        <v>5.4817880294662981E-2</v>
      </c>
      <c r="F13" s="354">
        <f>SQRT(SUMSQ(I14,I22,I31,I46))</f>
        <v>4.1204188535740989E-2</v>
      </c>
      <c r="G13" s="41">
        <f>SQRT(SUMSQ(J14,J22,J31,J46))</f>
        <v>5.0813384063649998E-2</v>
      </c>
      <c r="I13" s="324"/>
      <c r="L13" s="324"/>
      <c r="N13" s="57"/>
      <c r="O13" s="57"/>
      <c r="P13" s="262">
        <f>E13/F13-1</f>
        <v>0.33039582243230736</v>
      </c>
      <c r="Q13" s="262">
        <f>E13/G13-1</f>
        <v>7.8807902776104388E-2</v>
      </c>
      <c r="R13" s="263"/>
      <c r="S13" s="263"/>
      <c r="T13" s="264"/>
      <c r="U13" s="265"/>
      <c r="V13" s="265" t="s">
        <v>449</v>
      </c>
      <c r="W13" s="266" t="s">
        <v>443</v>
      </c>
      <c r="X13" s="267" t="s">
        <v>444</v>
      </c>
      <c r="Y13" s="266"/>
      <c r="Z13" s="281" t="s">
        <v>11</v>
      </c>
      <c r="AH13" s="55"/>
    </row>
    <row r="14" spans="1:34" s="38" customFormat="1" ht="13.5" outlineLevel="1" thickBot="1">
      <c r="A14" s="27"/>
      <c r="B14" s="228" t="s">
        <v>12</v>
      </c>
      <c r="C14" s="34"/>
      <c r="D14" s="34"/>
      <c r="F14" s="324"/>
      <c r="H14" s="52">
        <f>SQRT(SUMSQ(K15,K16,K17,K18,K19,K20))</f>
        <v>2.7477263328068172E-2</v>
      </c>
      <c r="I14" s="355">
        <f>SQRT(SUMSQ(L15,L16,L17,L18,L19,L20))</f>
        <v>2.5616586206770195E-2</v>
      </c>
      <c r="J14" s="53">
        <f>SQRT(SUMSQ(M15,M16,M17,M18,M19,M20))</f>
        <v>2.7477263328068172E-2</v>
      </c>
      <c r="L14" s="324"/>
      <c r="N14" s="32"/>
      <c r="O14" s="32"/>
      <c r="P14" s="84">
        <f>IF(I14&gt;0,H14/I14-1,"N/A")</f>
        <v>7.2635639514144978E-2</v>
      </c>
      <c r="Q14" s="84">
        <f>IF(J14&gt;0,H14/J14-1,"N/A")</f>
        <v>0</v>
      </c>
      <c r="R14" s="169"/>
      <c r="S14" s="350"/>
      <c r="T14" s="98"/>
      <c r="U14" s="86"/>
      <c r="V14" s="86" t="s">
        <v>411</v>
      </c>
      <c r="W14" s="261" t="s">
        <v>445</v>
      </c>
      <c r="X14" s="99" t="s">
        <v>446</v>
      </c>
      <c r="Y14" s="261"/>
      <c r="Z14" s="282"/>
      <c r="AH14" s="55"/>
    </row>
    <row r="15" spans="1:34" ht="13.5" outlineLevel="2" thickBot="1">
      <c r="B15" s="43"/>
      <c r="C15" s="43" t="s">
        <v>331</v>
      </c>
      <c r="D15" s="43"/>
      <c r="G15" s="38"/>
      <c r="H15" s="68"/>
      <c r="I15" s="29"/>
      <c r="J15" s="38"/>
      <c r="K15" s="52">
        <v>5.0000000000000001E-3</v>
      </c>
      <c r="L15" s="355">
        <v>3.81E-3</v>
      </c>
      <c r="M15" s="53">
        <v>5.0000000000000001E-3</v>
      </c>
      <c r="N15" s="66"/>
      <c r="O15" s="66"/>
      <c r="P15" s="59">
        <f>IF(L15&gt;0,K15/L15-1,"N/A")</f>
        <v>0.31233595800524938</v>
      </c>
      <c r="Q15" s="59">
        <f t="shared" ref="Q15:Q20" si="0">IF(M15&gt;0,K15/M15-1,"N/A")</f>
        <v>0</v>
      </c>
      <c r="R15" s="169" t="s">
        <v>537</v>
      </c>
      <c r="S15" s="169" t="s">
        <v>337</v>
      </c>
      <c r="T15" s="351" t="s">
        <v>330</v>
      </c>
      <c r="U15" s="63"/>
      <c r="V15" s="63" t="s">
        <v>13</v>
      </c>
      <c r="W15" s="70"/>
      <c r="X15" s="181"/>
      <c r="Y15" s="64"/>
      <c r="Z15" s="283" t="s">
        <v>14</v>
      </c>
      <c r="AH15" s="71"/>
    </row>
    <row r="16" spans="1:34" ht="13.5" outlineLevel="2" thickBot="1">
      <c r="B16" s="43"/>
      <c r="C16" s="43" t="s">
        <v>332</v>
      </c>
      <c r="D16" s="43"/>
      <c r="G16" s="38"/>
      <c r="H16" s="72"/>
      <c r="I16" s="29"/>
      <c r="J16" s="38"/>
      <c r="K16" s="52">
        <v>5.0000000000000001E-3</v>
      </c>
      <c r="L16" s="355">
        <v>4.3333333333333337E-4</v>
      </c>
      <c r="M16" s="53">
        <v>5.0000000000000001E-3</v>
      </c>
      <c r="N16" s="66"/>
      <c r="O16" s="66"/>
      <c r="P16" s="59">
        <f t="shared" ref="P16:P20" si="1">IF(L16&gt;0,K16/L16-1,"N/A")</f>
        <v>10.538461538461538</v>
      </c>
      <c r="Q16" s="73">
        <f t="shared" si="0"/>
        <v>0</v>
      </c>
      <c r="R16" s="169" t="s">
        <v>538</v>
      </c>
      <c r="S16" s="169" t="s">
        <v>338</v>
      </c>
      <c r="T16" s="351" t="s">
        <v>330</v>
      </c>
      <c r="U16" s="75"/>
      <c r="V16" s="75" t="s">
        <v>13</v>
      </c>
      <c r="W16" s="74"/>
      <c r="X16" s="139"/>
      <c r="Y16" s="76"/>
      <c r="Z16" s="284" t="s">
        <v>15</v>
      </c>
      <c r="AH16" s="71"/>
    </row>
    <row r="17" spans="2:34" ht="13.5" outlineLevel="2" thickBot="1">
      <c r="B17" s="43"/>
      <c r="C17" s="43" t="s">
        <v>333</v>
      </c>
      <c r="D17" s="43"/>
      <c r="G17" s="38"/>
      <c r="H17" s="72"/>
      <c r="I17" s="29"/>
      <c r="J17" s="38"/>
      <c r="K17" s="52">
        <v>6.0000000000000001E-3</v>
      </c>
      <c r="L17" s="355">
        <v>4.7999999999999987E-3</v>
      </c>
      <c r="M17" s="53">
        <v>6.0000000000000001E-3</v>
      </c>
      <c r="N17" s="66"/>
      <c r="O17" s="66"/>
      <c r="P17" s="59">
        <f t="shared" si="1"/>
        <v>0.25000000000000044</v>
      </c>
      <c r="Q17" s="73">
        <f t="shared" si="0"/>
        <v>0</v>
      </c>
      <c r="R17" s="169" t="s">
        <v>539</v>
      </c>
      <c r="S17" s="169" t="s">
        <v>339</v>
      </c>
      <c r="T17" s="351" t="s">
        <v>330</v>
      </c>
      <c r="U17" s="75"/>
      <c r="V17" s="75" t="s">
        <v>13</v>
      </c>
      <c r="W17" s="74"/>
      <c r="X17" s="139"/>
      <c r="Y17" s="76"/>
      <c r="Z17" s="284" t="s">
        <v>15</v>
      </c>
      <c r="AH17" s="71"/>
    </row>
    <row r="18" spans="2:34" ht="13.5" outlineLevel="2" thickBot="1">
      <c r="B18" s="43"/>
      <c r="C18" s="43" t="s">
        <v>334</v>
      </c>
      <c r="D18" s="43"/>
      <c r="G18" s="38"/>
      <c r="H18" s="72"/>
      <c r="I18" s="29"/>
      <c r="J18" s="38"/>
      <c r="K18" s="52">
        <v>2.1999999999999999E-2</v>
      </c>
      <c r="L18" s="355">
        <v>2.2293333333333335E-2</v>
      </c>
      <c r="M18" s="53">
        <v>2.1999999999999999E-2</v>
      </c>
      <c r="N18" s="66"/>
      <c r="O18" s="66"/>
      <c r="P18" s="59">
        <f t="shared" si="1"/>
        <v>-1.3157894736842257E-2</v>
      </c>
      <c r="Q18" s="73">
        <f t="shared" si="0"/>
        <v>0</v>
      </c>
      <c r="R18" s="169" t="s">
        <v>541</v>
      </c>
      <c r="S18" s="169" t="s">
        <v>340</v>
      </c>
      <c r="T18" s="351" t="s">
        <v>330</v>
      </c>
      <c r="U18" s="75"/>
      <c r="V18" s="75" t="s">
        <v>13</v>
      </c>
      <c r="W18" s="74"/>
      <c r="X18" s="139"/>
      <c r="Y18" s="76"/>
      <c r="Z18" s="284" t="s">
        <v>15</v>
      </c>
      <c r="AH18" s="71"/>
    </row>
    <row r="19" spans="2:34" ht="13.5" outlineLevel="2" thickBot="1">
      <c r="B19" s="43"/>
      <c r="C19" s="43" t="s">
        <v>335</v>
      </c>
      <c r="D19" s="43"/>
      <c r="G19" s="38"/>
      <c r="H19" s="72"/>
      <c r="I19" s="29"/>
      <c r="J19" s="38"/>
      <c r="K19" s="52">
        <v>1.2999999999999999E-2</v>
      </c>
      <c r="L19" s="355">
        <v>1.027E-2</v>
      </c>
      <c r="M19" s="53">
        <v>1.2999999999999999E-2</v>
      </c>
      <c r="N19" s="66"/>
      <c r="O19" s="66"/>
      <c r="P19" s="59">
        <f t="shared" si="1"/>
        <v>0.26582278481012667</v>
      </c>
      <c r="Q19" s="73">
        <f t="shared" si="0"/>
        <v>0</v>
      </c>
      <c r="R19" s="169" t="s">
        <v>540</v>
      </c>
      <c r="S19" s="169" t="s">
        <v>342</v>
      </c>
      <c r="T19" s="351" t="s">
        <v>330</v>
      </c>
      <c r="U19" s="75"/>
      <c r="V19" s="75" t="s">
        <v>13</v>
      </c>
      <c r="W19" s="74"/>
      <c r="X19" s="139"/>
      <c r="Y19" s="76"/>
      <c r="Z19" s="284" t="s">
        <v>15</v>
      </c>
      <c r="AH19" s="71"/>
    </row>
    <row r="20" spans="2:34" ht="13.5" outlineLevel="2" thickBot="1">
      <c r="B20" s="43"/>
      <c r="C20" s="43" t="s">
        <v>336</v>
      </c>
      <c r="D20" s="43"/>
      <c r="G20" s="38"/>
      <c r="H20" s="72"/>
      <c r="I20" s="29"/>
      <c r="J20" s="38"/>
      <c r="K20" s="52">
        <v>4.0000000000000001E-3</v>
      </c>
      <c r="L20" s="355">
        <v>4.0000000000000001E-3</v>
      </c>
      <c r="M20" s="53">
        <v>4.0000000000000001E-3</v>
      </c>
      <c r="N20" s="66"/>
      <c r="O20" s="66"/>
      <c r="P20" s="59">
        <f t="shared" si="1"/>
        <v>0</v>
      </c>
      <c r="Q20" s="73">
        <f t="shared" si="0"/>
        <v>0</v>
      </c>
      <c r="R20" s="169" t="s">
        <v>541</v>
      </c>
      <c r="S20" s="169" t="s">
        <v>341</v>
      </c>
      <c r="T20" s="351" t="s">
        <v>330</v>
      </c>
      <c r="U20" s="75"/>
      <c r="V20" s="75" t="s">
        <v>13</v>
      </c>
      <c r="W20" s="74"/>
      <c r="X20" s="139"/>
      <c r="Y20" s="76"/>
      <c r="Z20" s="284" t="s">
        <v>15</v>
      </c>
      <c r="AH20" s="71"/>
    </row>
    <row r="21" spans="2:34" ht="13.5" outlineLevel="2" thickBot="1">
      <c r="B21" s="43"/>
      <c r="C21" s="43"/>
      <c r="D21" s="43"/>
      <c r="E21" s="107"/>
      <c r="F21" s="107"/>
      <c r="G21" s="38"/>
      <c r="H21" s="77"/>
      <c r="I21" s="29"/>
      <c r="J21" s="38"/>
      <c r="K21" s="38"/>
      <c r="L21" s="324"/>
      <c r="M21" s="38"/>
      <c r="N21" s="66"/>
      <c r="O21" s="66"/>
      <c r="P21" s="335"/>
      <c r="Q21" s="78"/>
      <c r="R21" s="79"/>
      <c r="S21" s="79"/>
      <c r="T21" s="186"/>
      <c r="U21" s="81"/>
      <c r="V21" s="81"/>
      <c r="W21" s="80"/>
      <c r="X21" s="83"/>
      <c r="Y21" s="82"/>
      <c r="Z21" s="285"/>
      <c r="AH21" s="71"/>
    </row>
    <row r="22" spans="2:34" ht="13.5" outlineLevel="1" thickBot="1">
      <c r="B22" s="228" t="s">
        <v>16</v>
      </c>
      <c r="C22" s="34"/>
      <c r="D22" s="34"/>
      <c r="E22" s="29"/>
      <c r="F22" s="29"/>
      <c r="G22" s="38"/>
      <c r="H22" s="52">
        <f>SQRT(SUMSQ(K23,K24,K25,K26,K27,K28,K29))</f>
        <v>2.7258026340878018E-2</v>
      </c>
      <c r="I22" s="355">
        <f>SQRT(SUMSQ(L23,L24,L25,L26,L27,L28,L29))</f>
        <v>1.8696942637768346E-2</v>
      </c>
      <c r="J22" s="53">
        <f>SQRT(SUMSQ(M23,M24,M25,M26,M27,M28,M29))</f>
        <v>2.7258026340878018E-2</v>
      </c>
      <c r="K22" s="38"/>
      <c r="L22" s="324"/>
      <c r="M22" s="38"/>
      <c r="N22" s="32"/>
      <c r="O22" s="32"/>
      <c r="P22" s="84">
        <f>IF(I22&gt;0,H22/I22-1,"N/A")</f>
        <v>0.45788682507994882</v>
      </c>
      <c r="Q22" s="84">
        <f>IF(J22&gt;0,H22/J22-1,"N/A")</f>
        <v>0</v>
      </c>
      <c r="R22" s="169"/>
      <c r="S22" s="350"/>
      <c r="T22" s="187"/>
      <c r="U22" s="86"/>
      <c r="V22" s="86" t="s">
        <v>411</v>
      </c>
      <c r="W22" s="85" t="s">
        <v>445</v>
      </c>
      <c r="X22" s="182" t="s">
        <v>447</v>
      </c>
      <c r="Y22" s="85"/>
      <c r="Z22" s="286"/>
      <c r="AH22" s="71"/>
    </row>
    <row r="23" spans="2:34" ht="13.5" outlineLevel="2" thickBot="1">
      <c r="B23" s="43"/>
      <c r="C23" s="43" t="s">
        <v>348</v>
      </c>
      <c r="D23" s="43"/>
      <c r="G23" s="38"/>
      <c r="H23" s="68"/>
      <c r="I23" s="29"/>
      <c r="J23" s="38"/>
      <c r="K23" s="52">
        <v>1.0999999999999999E-2</v>
      </c>
      <c r="L23" s="355">
        <v>3.2999999999999995E-3</v>
      </c>
      <c r="M23" s="53">
        <v>1.0999999999999999E-2</v>
      </c>
      <c r="N23" s="66"/>
      <c r="O23" s="66"/>
      <c r="P23" s="59">
        <f t="shared" ref="P23:P29" si="2">IF(L23&gt;0,K23/L23-1,"N/A")</f>
        <v>2.3333333333333335</v>
      </c>
      <c r="Q23" s="59">
        <f t="shared" ref="Q23:Q29" si="3">IF(M23&gt;0,K23/M23-1,"N/A")</f>
        <v>0</v>
      </c>
      <c r="R23" s="169" t="s">
        <v>542</v>
      </c>
      <c r="S23" s="169" t="s">
        <v>343</v>
      </c>
      <c r="T23" s="351" t="s">
        <v>330</v>
      </c>
      <c r="U23" s="63"/>
      <c r="V23" s="63" t="s">
        <v>17</v>
      </c>
      <c r="W23" s="70"/>
      <c r="X23" s="181"/>
      <c r="Y23" s="64"/>
      <c r="Z23" s="283" t="s">
        <v>14</v>
      </c>
      <c r="AH23" s="71"/>
    </row>
    <row r="24" spans="2:34" ht="13.5" outlineLevel="2" thickBot="1">
      <c r="B24" s="43"/>
      <c r="C24" s="43" t="s">
        <v>349</v>
      </c>
      <c r="D24" s="43"/>
      <c r="G24" s="38"/>
      <c r="H24" s="72"/>
      <c r="I24" s="29"/>
      <c r="J24" s="38"/>
      <c r="K24" s="52">
        <v>1.0999999999999999E-2</v>
      </c>
      <c r="L24" s="355">
        <v>3.2999999999999995E-3</v>
      </c>
      <c r="M24" s="53">
        <v>1.0999999999999999E-2</v>
      </c>
      <c r="N24" s="66"/>
      <c r="O24" s="66"/>
      <c r="P24" s="59">
        <f t="shared" si="2"/>
        <v>2.3333333333333335</v>
      </c>
      <c r="Q24" s="73">
        <f t="shared" si="3"/>
        <v>0</v>
      </c>
      <c r="R24" s="169" t="s">
        <v>543</v>
      </c>
      <c r="S24" s="169" t="s">
        <v>344</v>
      </c>
      <c r="T24" s="351" t="s">
        <v>330</v>
      </c>
      <c r="U24" s="75"/>
      <c r="V24" s="75" t="s">
        <v>17</v>
      </c>
      <c r="W24" s="74"/>
      <c r="X24" s="139"/>
      <c r="Y24" s="76"/>
      <c r="Z24" s="284" t="s">
        <v>15</v>
      </c>
      <c r="AH24" s="71"/>
    </row>
    <row r="25" spans="2:34" ht="13.5" outlineLevel="2" thickBot="1">
      <c r="B25" s="43"/>
      <c r="C25" s="43" t="s">
        <v>438</v>
      </c>
      <c r="D25" s="43"/>
      <c r="G25" s="38"/>
      <c r="H25" s="72"/>
      <c r="I25" s="29"/>
      <c r="J25" s="38"/>
      <c r="K25" s="52">
        <v>6.0000000000000001E-3</v>
      </c>
      <c r="L25" s="355">
        <v>1.6080000000000001E-3</v>
      </c>
      <c r="M25" s="53">
        <v>6.0000000000000001E-3</v>
      </c>
      <c r="N25" s="66"/>
      <c r="O25" s="66"/>
      <c r="P25" s="59">
        <f t="shared" si="2"/>
        <v>2.7313432835820897</v>
      </c>
      <c r="Q25" s="73">
        <f t="shared" ref="Q25" si="4">IF(M25&gt;0,K25/M25-1,"N/A")</f>
        <v>0</v>
      </c>
      <c r="R25" s="169" t="s">
        <v>544</v>
      </c>
      <c r="S25" s="169" t="s">
        <v>439</v>
      </c>
      <c r="T25" s="351" t="s">
        <v>330</v>
      </c>
      <c r="U25" s="75"/>
      <c r="V25" s="75" t="s">
        <v>17</v>
      </c>
      <c r="W25" s="74"/>
      <c r="X25" s="139"/>
      <c r="Y25" s="76"/>
      <c r="Z25" s="284" t="s">
        <v>15</v>
      </c>
      <c r="AH25" s="71"/>
    </row>
    <row r="26" spans="2:34" ht="13.5" outlineLevel="2" thickBot="1">
      <c r="B26" s="43"/>
      <c r="C26" s="43" t="s">
        <v>350</v>
      </c>
      <c r="D26" s="43"/>
      <c r="G26" s="38"/>
      <c r="H26" s="72"/>
      <c r="I26" s="29"/>
      <c r="J26" s="38"/>
      <c r="K26" s="52">
        <v>7.0000000000000001E-3</v>
      </c>
      <c r="L26" s="355">
        <v>3.5000000000000001E-3</v>
      </c>
      <c r="M26" s="53">
        <v>7.0000000000000001E-3</v>
      </c>
      <c r="N26" s="66"/>
      <c r="O26" s="66"/>
      <c r="P26" s="59">
        <f t="shared" si="2"/>
        <v>1</v>
      </c>
      <c r="Q26" s="73">
        <f t="shared" si="3"/>
        <v>0</v>
      </c>
      <c r="R26" s="169" t="s">
        <v>545</v>
      </c>
      <c r="S26" s="169" t="s">
        <v>345</v>
      </c>
      <c r="T26" s="351" t="s">
        <v>330</v>
      </c>
      <c r="U26" s="75"/>
      <c r="V26" s="75" t="s">
        <v>17</v>
      </c>
      <c r="W26" s="74"/>
      <c r="X26" s="139"/>
      <c r="Y26" s="76"/>
      <c r="Z26" s="284" t="s">
        <v>15</v>
      </c>
      <c r="AH26" s="71"/>
    </row>
    <row r="27" spans="2:34" ht="13.5" outlineLevel="2" thickBot="1">
      <c r="B27" s="43"/>
      <c r="C27" s="43" t="s">
        <v>351</v>
      </c>
      <c r="D27" s="43"/>
      <c r="G27" s="38"/>
      <c r="H27" s="72"/>
      <c r="I27" s="29"/>
      <c r="J27" s="38"/>
      <c r="K27" s="52">
        <v>1.2E-2</v>
      </c>
      <c r="L27" s="355">
        <v>1.6E-2</v>
      </c>
      <c r="M27" s="53">
        <v>1.2E-2</v>
      </c>
      <c r="N27" s="66"/>
      <c r="O27" s="66"/>
      <c r="P27" s="59">
        <f t="shared" si="2"/>
        <v>-0.25</v>
      </c>
      <c r="Q27" s="73">
        <f t="shared" si="3"/>
        <v>0</v>
      </c>
      <c r="R27" s="169" t="s">
        <v>541</v>
      </c>
      <c r="S27" s="169" t="s">
        <v>346</v>
      </c>
      <c r="T27" s="351" t="s">
        <v>330</v>
      </c>
      <c r="U27" s="75"/>
      <c r="V27" s="75" t="s">
        <v>17</v>
      </c>
      <c r="W27" s="74"/>
      <c r="X27" s="139"/>
      <c r="Y27" s="76"/>
      <c r="Z27" s="284" t="s">
        <v>15</v>
      </c>
      <c r="AH27" s="71"/>
    </row>
    <row r="28" spans="2:34" ht="13.5" outlineLevel="2" thickBot="1">
      <c r="B28" s="43"/>
      <c r="C28" s="43" t="s">
        <v>352</v>
      </c>
      <c r="D28" s="43"/>
      <c r="G28" s="38"/>
      <c r="H28" s="72"/>
      <c r="I28" s="29"/>
      <c r="J28" s="38"/>
      <c r="K28" s="52">
        <v>1.6E-2</v>
      </c>
      <c r="L28" s="355">
        <v>6.4000000000000003E-3</v>
      </c>
      <c r="M28" s="53">
        <v>1.6E-2</v>
      </c>
      <c r="N28" s="66"/>
      <c r="O28" s="66"/>
      <c r="P28" s="59">
        <f t="shared" si="2"/>
        <v>1.5</v>
      </c>
      <c r="Q28" s="73">
        <f t="shared" si="3"/>
        <v>0</v>
      </c>
      <c r="R28" s="169" t="s">
        <v>546</v>
      </c>
      <c r="S28" s="169" t="s">
        <v>347</v>
      </c>
      <c r="T28" s="351" t="s">
        <v>330</v>
      </c>
      <c r="U28" s="75"/>
      <c r="V28" s="75" t="s">
        <v>17</v>
      </c>
      <c r="W28" s="74"/>
      <c r="X28" s="139"/>
      <c r="Y28" s="76"/>
      <c r="Z28" s="284" t="s">
        <v>15</v>
      </c>
      <c r="AH28" s="71"/>
    </row>
    <row r="29" spans="2:34" ht="13.5" outlineLevel="2" thickBot="1">
      <c r="B29" s="43"/>
      <c r="C29" s="43" t="s">
        <v>353</v>
      </c>
      <c r="D29" s="43"/>
      <c r="G29" s="38"/>
      <c r="H29" s="72"/>
      <c r="I29" s="29"/>
      <c r="J29" s="38"/>
      <c r="K29" s="52">
        <v>4.0000000000000001E-3</v>
      </c>
      <c r="L29" s="355">
        <v>4.0000000000000001E-3</v>
      </c>
      <c r="M29" s="53">
        <v>4.0000000000000001E-3</v>
      </c>
      <c r="N29" s="66"/>
      <c r="O29" s="66"/>
      <c r="P29" s="59">
        <f t="shared" si="2"/>
        <v>0</v>
      </c>
      <c r="Q29" s="73">
        <f t="shared" si="3"/>
        <v>0</v>
      </c>
      <c r="R29" s="169" t="s">
        <v>541</v>
      </c>
      <c r="S29" s="169" t="s">
        <v>341</v>
      </c>
      <c r="T29" s="351" t="s">
        <v>330</v>
      </c>
      <c r="U29" s="75"/>
      <c r="V29" s="75" t="s">
        <v>17</v>
      </c>
      <c r="W29" s="74"/>
      <c r="X29" s="139"/>
      <c r="Y29" s="76"/>
      <c r="Z29" s="284" t="s">
        <v>15</v>
      </c>
      <c r="AH29" s="71"/>
    </row>
    <row r="30" spans="2:34" ht="13.5" outlineLevel="2" thickBot="1">
      <c r="B30" s="43"/>
      <c r="C30" s="43"/>
      <c r="D30" s="43"/>
      <c r="E30" s="29"/>
      <c r="F30" s="29"/>
      <c r="G30" s="38"/>
      <c r="H30" s="77"/>
      <c r="I30" s="29"/>
      <c r="J30" s="38"/>
      <c r="K30" s="38"/>
      <c r="L30" s="324"/>
      <c r="M30" s="38"/>
      <c r="N30" s="66"/>
      <c r="O30" s="66"/>
      <c r="P30" s="335"/>
      <c r="Q30" s="78"/>
      <c r="R30" s="79"/>
      <c r="S30" s="79"/>
      <c r="T30" s="186"/>
      <c r="U30" s="81"/>
      <c r="V30" s="81"/>
      <c r="W30" s="80"/>
      <c r="X30" s="87"/>
      <c r="Y30" s="80"/>
      <c r="Z30" s="285"/>
      <c r="AH30" s="71"/>
    </row>
    <row r="31" spans="2:34" ht="13.5" outlineLevel="1" thickBot="1">
      <c r="B31" s="228" t="s">
        <v>18</v>
      </c>
      <c r="C31" s="34"/>
      <c r="D31" s="34"/>
      <c r="E31" s="29"/>
      <c r="F31" s="29"/>
      <c r="G31" s="38"/>
      <c r="H31" s="52">
        <f>SQRT(SUMSQ(K32,K33,K34,K35,K36,K37,K42))</f>
        <v>2.7568097504180444E-2</v>
      </c>
      <c r="I31" s="355">
        <f>SQRT(SUMSQ(L32,L33,L34,L35,L36,L37,L42))</f>
        <v>1.4456832294800961E-2</v>
      </c>
      <c r="J31" s="53">
        <f>SQRT(SUMSQ(M32,M33,M34,M35,M36,M37,M42))</f>
        <v>1.8384776310850236E-2</v>
      </c>
      <c r="K31" s="38"/>
      <c r="L31" s="324"/>
      <c r="M31" s="38"/>
      <c r="N31" s="32"/>
      <c r="O31" s="32"/>
      <c r="P31" s="84">
        <f>IF(I31&gt;0,H31/I31-1,"N/A")</f>
        <v>0.90692517849118448</v>
      </c>
      <c r="Q31" s="84">
        <f>IF(J31&gt;0,H31/J31-1,"N/A")</f>
        <v>0.49950682227830212</v>
      </c>
      <c r="R31" s="169" t="s">
        <v>531</v>
      </c>
      <c r="S31" s="169"/>
      <c r="T31" s="187"/>
      <c r="U31" s="86"/>
      <c r="V31" s="86" t="s">
        <v>411</v>
      </c>
      <c r="W31" s="85" t="s">
        <v>445</v>
      </c>
      <c r="X31" s="182" t="s">
        <v>448</v>
      </c>
      <c r="Y31" s="85"/>
      <c r="Z31" s="286"/>
      <c r="AH31" s="71"/>
    </row>
    <row r="32" spans="2:34" ht="13.5" outlineLevel="2" thickBot="1">
      <c r="B32" s="43"/>
      <c r="C32" s="43" t="s">
        <v>354</v>
      </c>
      <c r="D32" s="43"/>
      <c r="G32" s="38"/>
      <c r="H32" s="68"/>
      <c r="I32" s="29"/>
      <c r="J32" s="38"/>
      <c r="K32" s="52">
        <v>8.0000000000000002E-3</v>
      </c>
      <c r="L32" s="355">
        <v>1E-3</v>
      </c>
      <c r="M32" s="53">
        <v>4.0000000000000001E-3</v>
      </c>
      <c r="N32" s="66"/>
      <c r="O32" s="66"/>
      <c r="P32" s="59">
        <f t="shared" ref="P32:P37" si="5">IF(L32&gt;0,K32/L32-1,"N/A")</f>
        <v>7</v>
      </c>
      <c r="Q32" s="59">
        <f t="shared" ref="P32:Q42" si="6">IF(M32&gt;0,K32/M32-1,"N/A")</f>
        <v>1</v>
      </c>
      <c r="R32" s="169" t="s">
        <v>550</v>
      </c>
      <c r="S32" s="169" t="s">
        <v>364</v>
      </c>
      <c r="T32" s="184" t="s">
        <v>359</v>
      </c>
      <c r="U32" s="63"/>
      <c r="V32" s="63" t="s">
        <v>450</v>
      </c>
      <c r="W32" s="70"/>
      <c r="X32" s="181"/>
      <c r="Y32" s="64"/>
      <c r="Z32" s="283" t="s">
        <v>14</v>
      </c>
      <c r="AH32" s="71"/>
    </row>
    <row r="33" spans="1:34" ht="13.5" outlineLevel="2" thickBot="1">
      <c r="B33" s="43"/>
      <c r="C33" s="43" t="s">
        <v>355</v>
      </c>
      <c r="D33" s="43"/>
      <c r="G33" s="38"/>
      <c r="H33" s="72"/>
      <c r="I33" s="29"/>
      <c r="J33" s="38"/>
      <c r="K33" s="52">
        <v>8.0000000000000002E-3</v>
      </c>
      <c r="L33" s="355">
        <v>1E-3</v>
      </c>
      <c r="M33" s="53">
        <v>4.0000000000000001E-3</v>
      </c>
      <c r="N33" s="66"/>
      <c r="O33" s="66"/>
      <c r="P33" s="59">
        <f t="shared" si="5"/>
        <v>7</v>
      </c>
      <c r="Q33" s="73">
        <f t="shared" si="6"/>
        <v>1</v>
      </c>
      <c r="R33" s="169" t="s">
        <v>551</v>
      </c>
      <c r="S33" s="169" t="s">
        <v>365</v>
      </c>
      <c r="T33" s="184" t="s">
        <v>359</v>
      </c>
      <c r="U33" s="75"/>
      <c r="V33" s="75" t="s">
        <v>450</v>
      </c>
      <c r="W33" s="74"/>
      <c r="X33" s="139"/>
      <c r="Y33" s="76"/>
      <c r="Z33" s="284" t="s">
        <v>15</v>
      </c>
      <c r="AH33" s="71"/>
    </row>
    <row r="34" spans="1:34" ht="13.5" outlineLevel="2" thickBot="1">
      <c r="B34" s="43"/>
      <c r="C34" s="43" t="s">
        <v>356</v>
      </c>
      <c r="D34" s="43"/>
      <c r="G34" s="38"/>
      <c r="H34" s="72"/>
      <c r="I34" s="29"/>
      <c r="J34" s="38"/>
      <c r="K34" s="52">
        <v>1.4999999999999999E-2</v>
      </c>
      <c r="L34" s="355">
        <v>3.0000000000000001E-3</v>
      </c>
      <c r="M34" s="53">
        <v>8.9999999999999993E-3</v>
      </c>
      <c r="N34" s="66"/>
      <c r="O34" s="66"/>
      <c r="P34" s="59">
        <f t="shared" si="5"/>
        <v>4</v>
      </c>
      <c r="Q34" s="73">
        <f t="shared" si="6"/>
        <v>0.66666666666666674</v>
      </c>
      <c r="R34" s="169" t="s">
        <v>552</v>
      </c>
      <c r="S34" s="169" t="s">
        <v>366</v>
      </c>
      <c r="T34" s="184" t="s">
        <v>359</v>
      </c>
      <c r="U34" s="75"/>
      <c r="V34" s="75" t="s">
        <v>450</v>
      </c>
      <c r="W34" s="74"/>
      <c r="X34" s="139"/>
      <c r="Y34" s="76"/>
      <c r="Z34" s="284" t="s">
        <v>15</v>
      </c>
      <c r="AH34" s="71"/>
    </row>
    <row r="35" spans="1:34" ht="13.5" outlineLevel="2" thickBot="1">
      <c r="B35" s="43"/>
      <c r="C35" s="43" t="s">
        <v>357</v>
      </c>
      <c r="D35" s="43"/>
      <c r="G35" s="38"/>
      <c r="H35" s="72"/>
      <c r="I35" s="29"/>
      <c r="J35" s="38"/>
      <c r="K35" s="52">
        <v>0.01</v>
      </c>
      <c r="L35" s="355">
        <v>3.0000000000000001E-3</v>
      </c>
      <c r="M35" s="53">
        <v>6.0000000000000001E-3</v>
      </c>
      <c r="N35" s="66"/>
      <c r="O35" s="66"/>
      <c r="P35" s="59">
        <f t="shared" si="5"/>
        <v>2.3333333333333335</v>
      </c>
      <c r="Q35" s="73">
        <f t="shared" si="6"/>
        <v>0.66666666666666674</v>
      </c>
      <c r="R35" s="169" t="s">
        <v>554</v>
      </c>
      <c r="S35" s="169" t="s">
        <v>367</v>
      </c>
      <c r="T35" s="184" t="s">
        <v>359</v>
      </c>
      <c r="U35" s="75"/>
      <c r="V35" s="75" t="s">
        <v>450</v>
      </c>
      <c r="W35" s="74"/>
      <c r="X35" s="139"/>
      <c r="Y35" s="76"/>
      <c r="Z35" s="284" t="s">
        <v>15</v>
      </c>
      <c r="AH35" s="71"/>
    </row>
    <row r="36" spans="1:34" ht="13.5" outlineLevel="2" thickBot="1">
      <c r="B36" s="43"/>
      <c r="C36" s="43" t="s">
        <v>358</v>
      </c>
      <c r="D36" s="43"/>
      <c r="G36" s="38"/>
      <c r="H36" s="72"/>
      <c r="I36" s="29"/>
      <c r="J36" s="38"/>
      <c r="K36" s="52">
        <v>2E-3</v>
      </c>
      <c r="L36" s="355">
        <v>1E-3</v>
      </c>
      <c r="M36" s="53">
        <v>1E-3</v>
      </c>
      <c r="N36" s="66"/>
      <c r="O36" s="66"/>
      <c r="P36" s="59">
        <f t="shared" si="5"/>
        <v>1</v>
      </c>
      <c r="Q36" s="73">
        <f t="shared" si="6"/>
        <v>1</v>
      </c>
      <c r="R36" s="69" t="s">
        <v>549</v>
      </c>
      <c r="S36" s="350" t="s">
        <v>368</v>
      </c>
      <c r="T36" s="184" t="s">
        <v>359</v>
      </c>
      <c r="U36" s="75"/>
      <c r="V36" s="75" t="s">
        <v>450</v>
      </c>
      <c r="W36" s="74"/>
      <c r="X36" s="139"/>
      <c r="Y36" s="76"/>
      <c r="Z36" s="284" t="s">
        <v>15</v>
      </c>
      <c r="AH36" s="71"/>
    </row>
    <row r="37" spans="1:34" ht="26.25" outlineLevel="2" thickBot="1">
      <c r="B37" s="43"/>
      <c r="C37" s="43" t="s">
        <v>360</v>
      </c>
      <c r="D37" s="43"/>
      <c r="G37" s="38"/>
      <c r="H37" s="72"/>
      <c r="I37" s="29"/>
      <c r="J37" s="38"/>
      <c r="K37" s="52">
        <f>SQRT(SUMSQ(N38:N40))</f>
        <v>1.584297951775486E-2</v>
      </c>
      <c r="L37" s="355">
        <f>M37</f>
        <v>1.2767145334803704E-2</v>
      </c>
      <c r="M37" s="53">
        <f>SQRT(SUMSQ(O38:O40))</f>
        <v>1.2767145334803704E-2</v>
      </c>
      <c r="N37" s="66"/>
      <c r="O37" s="66"/>
      <c r="P37" s="59">
        <f t="shared" si="5"/>
        <v>0.24091792662266642</v>
      </c>
      <c r="Q37" s="73">
        <f t="shared" si="6"/>
        <v>0.24091792662266642</v>
      </c>
      <c r="R37" s="69" t="s">
        <v>553</v>
      </c>
      <c r="S37" s="350" t="s">
        <v>369</v>
      </c>
      <c r="T37" s="184" t="s">
        <v>359</v>
      </c>
      <c r="U37" s="75"/>
      <c r="V37" s="75" t="s">
        <v>450</v>
      </c>
      <c r="W37" s="74"/>
      <c r="X37" s="139"/>
      <c r="Y37" s="76"/>
      <c r="Z37" s="284" t="s">
        <v>15</v>
      </c>
      <c r="AH37" s="71"/>
    </row>
    <row r="38" spans="1:34" s="326" customFormat="1" ht="26.25" outlineLevel="3" thickBot="1">
      <c r="A38" s="328"/>
      <c r="B38" s="325"/>
      <c r="C38" s="325"/>
      <c r="D38" s="325" t="s">
        <v>362</v>
      </c>
      <c r="G38" s="324"/>
      <c r="H38" s="331"/>
      <c r="I38" s="29"/>
      <c r="J38" s="324"/>
      <c r="K38" s="331"/>
      <c r="L38" s="29"/>
      <c r="M38" s="329"/>
      <c r="N38" s="344">
        <v>1.0999999999999999E-2</v>
      </c>
      <c r="O38" s="345">
        <v>8.9999999999999993E-3</v>
      </c>
      <c r="P38" s="340"/>
      <c r="Q38" s="340">
        <f>IF(O38&gt;0,N38/O38-1,"N/A")</f>
        <v>0.22222222222222232</v>
      </c>
      <c r="R38" s="350"/>
      <c r="S38" s="350" t="s">
        <v>369</v>
      </c>
      <c r="T38" s="351" t="s">
        <v>359</v>
      </c>
      <c r="U38" s="333"/>
      <c r="V38" s="333" t="s">
        <v>450</v>
      </c>
      <c r="W38" s="332"/>
      <c r="X38" s="341"/>
      <c r="Y38" s="334"/>
      <c r="Z38" s="342" t="s">
        <v>15</v>
      </c>
      <c r="AH38" s="330"/>
    </row>
    <row r="39" spans="1:34" s="326" customFormat="1" ht="13.5" outlineLevel="3" thickBot="1">
      <c r="A39" s="328"/>
      <c r="B39" s="325"/>
      <c r="C39" s="325"/>
      <c r="D39" s="325" t="s">
        <v>362</v>
      </c>
      <c r="G39" s="324"/>
      <c r="H39" s="331"/>
      <c r="I39" s="29"/>
      <c r="J39" s="324"/>
      <c r="K39" s="331"/>
      <c r="L39" s="29"/>
      <c r="M39" s="329"/>
      <c r="N39" s="348">
        <v>1.0999999999999999E-2</v>
      </c>
      <c r="O39" s="349">
        <v>8.9999999999999993E-3</v>
      </c>
      <c r="P39" s="340"/>
      <c r="Q39" s="340">
        <f>IF(O39&gt;0,N39/O39-1,"N/A")</f>
        <v>0.22222222222222232</v>
      </c>
      <c r="R39" s="350"/>
      <c r="S39" s="350" t="s">
        <v>504</v>
      </c>
      <c r="T39" s="351"/>
      <c r="U39" s="333"/>
      <c r="V39" s="333" t="s">
        <v>450</v>
      </c>
      <c r="W39" s="332"/>
      <c r="X39" s="341"/>
      <c r="Y39" s="334"/>
      <c r="Z39" s="342" t="s">
        <v>15</v>
      </c>
      <c r="AH39" s="330"/>
    </row>
    <row r="40" spans="1:34" s="326" customFormat="1" ht="13.5" outlineLevel="3" thickBot="1">
      <c r="A40" s="328"/>
      <c r="B40" s="325"/>
      <c r="C40" s="325"/>
      <c r="D40" s="325" t="s">
        <v>362</v>
      </c>
      <c r="G40" s="324"/>
      <c r="H40" s="331"/>
      <c r="I40" s="29"/>
      <c r="J40" s="324"/>
      <c r="K40" s="331"/>
      <c r="L40" s="29"/>
      <c r="M40" s="329"/>
      <c r="N40" s="346">
        <v>3.0000000000000001E-3</v>
      </c>
      <c r="O40" s="347">
        <v>1E-3</v>
      </c>
      <c r="P40" s="340"/>
      <c r="Q40" s="340">
        <f>IF(O40&gt;0,N40/O40-1,"N/A")</f>
        <v>2</v>
      </c>
      <c r="R40" s="350"/>
      <c r="S40" s="350" t="s">
        <v>505</v>
      </c>
      <c r="T40" s="351"/>
      <c r="U40" s="333"/>
      <c r="V40" s="333" t="s">
        <v>450</v>
      </c>
      <c r="W40" s="332"/>
      <c r="X40" s="341"/>
      <c r="Y40" s="334"/>
      <c r="Z40" s="342" t="s">
        <v>15</v>
      </c>
      <c r="AH40" s="330"/>
    </row>
    <row r="41" spans="1:34" s="326" customFormat="1" ht="13.5" outlineLevel="2" thickBot="1">
      <c r="A41" s="328"/>
      <c r="B41" s="323"/>
      <c r="C41" s="325"/>
      <c r="D41" s="327"/>
      <c r="E41" s="329"/>
      <c r="F41" s="329"/>
      <c r="G41" s="324"/>
      <c r="H41" s="331"/>
      <c r="I41" s="29"/>
      <c r="J41" s="324"/>
      <c r="K41" s="331"/>
      <c r="L41" s="29"/>
      <c r="N41" s="329"/>
      <c r="O41" s="329"/>
      <c r="P41" s="335"/>
      <c r="Q41" s="335"/>
      <c r="R41" s="339"/>
      <c r="S41" s="339"/>
      <c r="T41" s="339"/>
      <c r="U41" s="337"/>
      <c r="V41" s="337"/>
      <c r="W41" s="336"/>
      <c r="X41" s="338"/>
      <c r="Y41" s="336"/>
      <c r="Z41" s="343"/>
      <c r="AH41" s="330"/>
    </row>
    <row r="42" spans="1:34" ht="13.5" outlineLevel="2" thickBot="1">
      <c r="B42" s="43"/>
      <c r="C42" s="43" t="s">
        <v>361</v>
      </c>
      <c r="D42" s="43"/>
      <c r="G42" s="38"/>
      <c r="H42" s="331"/>
      <c r="I42" s="29"/>
      <c r="J42" s="38"/>
      <c r="K42" s="52">
        <f>SQRT(SUMSQ(N43,N44))</f>
        <v>7.2111025509279791E-3</v>
      </c>
      <c r="L42" s="355">
        <f>M42</f>
        <v>5.0000000000000001E-3</v>
      </c>
      <c r="M42" s="53">
        <f>SQRT(SUMSQ(O43,O44))</f>
        <v>5.0000000000000001E-3</v>
      </c>
      <c r="N42" s="66"/>
      <c r="O42" s="66"/>
      <c r="P42" s="73">
        <f t="shared" si="6"/>
        <v>-1</v>
      </c>
      <c r="Q42" s="73">
        <f t="shared" si="6"/>
        <v>0.44222051018559583</v>
      </c>
      <c r="R42" s="69" t="s">
        <v>561</v>
      </c>
      <c r="S42" s="350"/>
      <c r="T42" s="184" t="s">
        <v>359</v>
      </c>
      <c r="U42" s="75"/>
      <c r="V42" s="75" t="s">
        <v>450</v>
      </c>
      <c r="W42" s="74"/>
      <c r="X42" s="139"/>
      <c r="Y42" s="76"/>
      <c r="Z42" s="284" t="s">
        <v>15</v>
      </c>
      <c r="AH42" s="71"/>
    </row>
    <row r="43" spans="1:34" ht="13.5" outlineLevel="3" thickBot="1">
      <c r="B43" s="43"/>
      <c r="C43" s="43"/>
      <c r="D43" s="43" t="s">
        <v>362</v>
      </c>
      <c r="G43" s="38"/>
      <c r="H43" s="331"/>
      <c r="I43" s="29"/>
      <c r="J43" s="38"/>
      <c r="K43" s="66"/>
      <c r="L43" s="329"/>
      <c r="M43" s="66"/>
      <c r="N43" s="52">
        <v>6.0000000000000001E-3</v>
      </c>
      <c r="O43" s="53">
        <v>4.0000000000000001E-3</v>
      </c>
      <c r="P43" s="340"/>
      <c r="Q43" s="135">
        <f>IF(O43&gt;0,N43/O43-1,"N/A")</f>
        <v>0.5</v>
      </c>
      <c r="R43" s="69"/>
      <c r="S43" s="350" t="s">
        <v>370</v>
      </c>
      <c r="T43" s="184" t="s">
        <v>359</v>
      </c>
      <c r="U43" s="75"/>
      <c r="V43" s="75" t="s">
        <v>450</v>
      </c>
      <c r="W43" s="74"/>
      <c r="X43" s="139"/>
      <c r="Y43" s="76"/>
      <c r="Z43" s="284" t="s">
        <v>15</v>
      </c>
      <c r="AH43" s="71"/>
    </row>
    <row r="44" spans="1:34" ht="13.5" outlineLevel="3" thickBot="1">
      <c r="B44" s="43"/>
      <c r="C44" s="43"/>
      <c r="D44" s="43" t="s">
        <v>363</v>
      </c>
      <c r="G44" s="38"/>
      <c r="H44" s="72"/>
      <c r="I44" s="29"/>
      <c r="J44" s="38"/>
      <c r="K44" s="38"/>
      <c r="L44" s="324"/>
      <c r="M44" s="38"/>
      <c r="N44" s="52">
        <v>4.0000000000000001E-3</v>
      </c>
      <c r="O44" s="53">
        <v>3.0000000000000001E-3</v>
      </c>
      <c r="P44" s="340"/>
      <c r="Q44" s="135">
        <f>IF(O44&gt;0,N44/O44-1,"N/A")</f>
        <v>0.33333333333333326</v>
      </c>
      <c r="R44" s="69"/>
      <c r="S44" s="350" t="s">
        <v>371</v>
      </c>
      <c r="T44" s="184" t="s">
        <v>359</v>
      </c>
      <c r="U44" s="75"/>
      <c r="V44" s="75" t="s">
        <v>450</v>
      </c>
      <c r="W44" s="74"/>
      <c r="X44" s="139"/>
      <c r="Y44" s="76"/>
      <c r="Z44" s="284" t="s">
        <v>15</v>
      </c>
      <c r="AH44" s="71"/>
    </row>
    <row r="45" spans="1:34" ht="13.5" outlineLevel="2" thickBot="1">
      <c r="B45" s="43"/>
      <c r="C45" s="43"/>
      <c r="D45" s="43"/>
      <c r="E45" s="29"/>
      <c r="F45" s="29"/>
      <c r="G45" s="38"/>
      <c r="H45" s="77"/>
      <c r="I45" s="29"/>
      <c r="J45" s="38"/>
      <c r="K45" s="38"/>
      <c r="L45" s="324"/>
      <c r="M45" s="38"/>
      <c r="N45" s="66"/>
      <c r="O45" s="66"/>
      <c r="P45" s="335"/>
      <c r="Q45" s="78"/>
      <c r="R45" s="79"/>
      <c r="S45" s="79"/>
      <c r="T45" s="186"/>
      <c r="U45" s="81"/>
      <c r="V45" s="81"/>
      <c r="W45" s="80"/>
      <c r="X45" s="87"/>
      <c r="Y45" s="80"/>
      <c r="Z45" s="285"/>
      <c r="AH45" s="71"/>
    </row>
    <row r="46" spans="1:34" ht="13.5" outlineLevel="1" thickBot="1">
      <c r="B46" s="228" t="s">
        <v>20</v>
      </c>
      <c r="C46" s="34"/>
      <c r="D46" s="34"/>
      <c r="E46" s="29"/>
      <c r="F46" s="29"/>
      <c r="G46" s="38"/>
      <c r="H46" s="52">
        <f>SQRT(SUMSQ(K47,K48,K49,K50,K51,K52,K53))</f>
        <v>2.7331300737432899E-2</v>
      </c>
      <c r="I46" s="355">
        <f>SQRT(SUMSQ(L47,L48,L49,L50,L51,L52,L53))</f>
        <v>2.1977260975835911E-2</v>
      </c>
      <c r="J46" s="53">
        <f>SQRT(SUMSQ(M47,M48,M49,M50,M51,M52,M53))</f>
        <v>2.7313000567495326E-2</v>
      </c>
      <c r="K46" s="38"/>
      <c r="L46" s="324"/>
      <c r="M46" s="38"/>
      <c r="N46" s="32"/>
      <c r="O46" s="32"/>
      <c r="P46" s="84">
        <f>IF(I46&gt;0,H46/I46-1,"N/A")</f>
        <v>0.24361724454579559</v>
      </c>
      <c r="Q46" s="84">
        <f>IF(J46&gt;0,H46/J46-1,"N/A")</f>
        <v>6.7001682558998077E-4</v>
      </c>
      <c r="R46" s="169" t="s">
        <v>531</v>
      </c>
      <c r="S46" s="169"/>
      <c r="T46" s="187"/>
      <c r="U46" s="86"/>
      <c r="V46" s="86" t="s">
        <v>411</v>
      </c>
      <c r="W46" s="85" t="s">
        <v>445</v>
      </c>
      <c r="X46" s="182" t="s">
        <v>451</v>
      </c>
      <c r="Y46" s="85"/>
      <c r="Z46" s="286"/>
      <c r="AH46" s="71"/>
    </row>
    <row r="47" spans="1:34" ht="13.5" outlineLevel="2" thickBot="1">
      <c r="B47" s="43"/>
      <c r="C47" s="43" t="s">
        <v>384</v>
      </c>
      <c r="D47" s="43"/>
      <c r="G47" s="38"/>
      <c r="H47" s="38"/>
      <c r="I47" s="324"/>
      <c r="J47" s="38"/>
      <c r="K47" s="52">
        <v>1.4E-2</v>
      </c>
      <c r="L47" s="355">
        <v>7.0000000000000001E-3</v>
      </c>
      <c r="M47" s="53">
        <v>1.4E-2</v>
      </c>
      <c r="N47" s="66"/>
      <c r="O47" s="66"/>
      <c r="P47" s="59">
        <f t="shared" ref="P47:P53" si="7">IF(L47&gt;0,K47/L47-1,"N/A")</f>
        <v>1</v>
      </c>
      <c r="Q47" s="59">
        <f t="shared" ref="Q47:Q53" si="8">IF(M47&gt;0,K47/M47-1,"N/A")</f>
        <v>0</v>
      </c>
      <c r="R47" s="169" t="s">
        <v>555</v>
      </c>
      <c r="S47" s="169" t="s">
        <v>394</v>
      </c>
      <c r="T47" s="184" t="s">
        <v>393</v>
      </c>
      <c r="U47" s="63"/>
      <c r="V47" s="63" t="s">
        <v>21</v>
      </c>
      <c r="W47" s="70"/>
      <c r="X47" s="181"/>
      <c r="Y47" s="64"/>
      <c r="Z47" s="283" t="s">
        <v>14</v>
      </c>
      <c r="AH47" s="71"/>
    </row>
    <row r="48" spans="1:34" ht="13.5" outlineLevel="2" thickBot="1">
      <c r="B48" s="43"/>
      <c r="C48" s="43" t="s">
        <v>385</v>
      </c>
      <c r="D48" s="43"/>
      <c r="G48" s="38"/>
      <c r="H48" s="38"/>
      <c r="I48" s="324"/>
      <c r="J48" s="38"/>
      <c r="K48" s="52">
        <v>7.0000000000000001E-3</v>
      </c>
      <c r="L48" s="355">
        <v>2E-3</v>
      </c>
      <c r="M48" s="53">
        <v>7.0000000000000001E-3</v>
      </c>
      <c r="N48" s="66"/>
      <c r="O48" s="66"/>
      <c r="P48" s="59">
        <f t="shared" si="7"/>
        <v>2.5</v>
      </c>
      <c r="Q48" s="73">
        <f t="shared" si="8"/>
        <v>0</v>
      </c>
      <c r="R48" s="169" t="s">
        <v>556</v>
      </c>
      <c r="S48" s="169" t="s">
        <v>395</v>
      </c>
      <c r="T48" s="184" t="s">
        <v>393</v>
      </c>
      <c r="U48" s="75"/>
      <c r="V48" s="75" t="s">
        <v>21</v>
      </c>
      <c r="W48" s="74"/>
      <c r="X48" s="139"/>
      <c r="Y48" s="76"/>
      <c r="Z48" s="284" t="s">
        <v>15</v>
      </c>
      <c r="AH48" s="71"/>
    </row>
    <row r="49" spans="2:34" ht="13.5" outlineLevel="2" thickBot="1">
      <c r="B49" s="43"/>
      <c r="C49" s="43" t="s">
        <v>386</v>
      </c>
      <c r="D49" s="43"/>
      <c r="G49" s="38"/>
      <c r="H49" s="38"/>
      <c r="I49" s="324"/>
      <c r="J49" s="38"/>
      <c r="K49" s="52">
        <v>0.02</v>
      </c>
      <c r="L49" s="355">
        <v>0.02</v>
      </c>
      <c r="M49" s="53">
        <v>0.02</v>
      </c>
      <c r="N49" s="66"/>
      <c r="O49" s="66"/>
      <c r="P49" s="59">
        <f t="shared" si="7"/>
        <v>0</v>
      </c>
      <c r="Q49" s="73">
        <f t="shared" si="8"/>
        <v>0</v>
      </c>
      <c r="R49" s="169" t="s">
        <v>557</v>
      </c>
      <c r="S49" s="169" t="s">
        <v>396</v>
      </c>
      <c r="T49" s="184" t="s">
        <v>393</v>
      </c>
      <c r="U49" s="75"/>
      <c r="V49" s="75" t="s">
        <v>21</v>
      </c>
      <c r="W49" s="74"/>
      <c r="X49" s="139"/>
      <c r="Y49" s="76"/>
      <c r="Z49" s="284" t="s">
        <v>15</v>
      </c>
      <c r="AH49" s="71"/>
    </row>
    <row r="50" spans="2:34" ht="13.5" outlineLevel="2" thickBot="1">
      <c r="B50" s="43"/>
      <c r="C50" s="43" t="s">
        <v>387</v>
      </c>
      <c r="D50" s="43"/>
      <c r="G50" s="38"/>
      <c r="H50" s="38"/>
      <c r="I50" s="324"/>
      <c r="J50" s="38"/>
      <c r="K50" s="52">
        <v>4.0000000000000001E-3</v>
      </c>
      <c r="L50" s="355">
        <v>1E-3</v>
      </c>
      <c r="M50" s="53">
        <v>4.0000000000000001E-3</v>
      </c>
      <c r="N50" s="66"/>
      <c r="O50" s="66"/>
      <c r="P50" s="59">
        <f t="shared" si="7"/>
        <v>3</v>
      </c>
      <c r="Q50" s="73">
        <f t="shared" si="8"/>
        <v>0</v>
      </c>
      <c r="R50" s="169" t="s">
        <v>558</v>
      </c>
      <c r="S50" s="169" t="s">
        <v>397</v>
      </c>
      <c r="T50" s="184" t="s">
        <v>393</v>
      </c>
      <c r="U50" s="75"/>
      <c r="V50" s="75" t="s">
        <v>21</v>
      </c>
      <c r="W50" s="74"/>
      <c r="X50" s="139"/>
      <c r="Y50" s="76"/>
      <c r="Z50" s="284" t="s">
        <v>15</v>
      </c>
      <c r="AH50" s="71"/>
    </row>
    <row r="51" spans="2:34" ht="13.5" outlineLevel="2" thickBot="1">
      <c r="B51" s="43"/>
      <c r="C51" s="43" t="s">
        <v>388</v>
      </c>
      <c r="D51" s="43"/>
      <c r="G51" s="38"/>
      <c r="H51" s="38"/>
      <c r="I51" s="324"/>
      <c r="J51" s="38"/>
      <c r="K51" s="52">
        <v>1E-3</v>
      </c>
      <c r="L51" s="355">
        <f>M51</f>
        <v>0</v>
      </c>
      <c r="M51" s="53">
        <v>0</v>
      </c>
      <c r="N51" s="66"/>
      <c r="O51" s="66"/>
      <c r="P51" s="59" t="str">
        <f t="shared" si="7"/>
        <v>N/A</v>
      </c>
      <c r="Q51" s="73" t="str">
        <f t="shared" si="8"/>
        <v>N/A</v>
      </c>
      <c r="R51" s="69" t="s">
        <v>559</v>
      </c>
      <c r="S51" s="350" t="s">
        <v>368</v>
      </c>
      <c r="T51" s="184" t="s">
        <v>393</v>
      </c>
      <c r="U51" s="75"/>
      <c r="V51" s="75" t="s">
        <v>21</v>
      </c>
      <c r="W51" s="74"/>
      <c r="X51" s="139"/>
      <c r="Y51" s="76"/>
      <c r="Z51" s="284" t="s">
        <v>15</v>
      </c>
      <c r="AH51" s="71"/>
    </row>
    <row r="52" spans="2:34" ht="26.25" outlineLevel="2" thickBot="1">
      <c r="B52" s="43"/>
      <c r="C52" s="43" t="s">
        <v>389</v>
      </c>
      <c r="D52" s="43"/>
      <c r="G52" s="38"/>
      <c r="H52" s="38"/>
      <c r="I52" s="324"/>
      <c r="J52" s="38"/>
      <c r="K52" s="52">
        <v>8.9999999999999993E-3</v>
      </c>
      <c r="L52" s="355">
        <v>5.0000000000000001E-3</v>
      </c>
      <c r="M52" s="53">
        <v>8.9999999999999993E-3</v>
      </c>
      <c r="N52" s="66"/>
      <c r="O52" s="66"/>
      <c r="P52" s="59">
        <f t="shared" si="7"/>
        <v>0.79999999999999982</v>
      </c>
      <c r="Q52" s="73">
        <f t="shared" si="8"/>
        <v>0</v>
      </c>
      <c r="R52" s="69" t="s">
        <v>560</v>
      </c>
      <c r="S52" s="350" t="s">
        <v>398</v>
      </c>
      <c r="T52" s="184" t="s">
        <v>393</v>
      </c>
      <c r="U52" s="75"/>
      <c r="V52" s="75" t="s">
        <v>21</v>
      </c>
      <c r="W52" s="74"/>
      <c r="X52" s="139"/>
      <c r="Y52" s="76"/>
      <c r="Z52" s="284" t="s">
        <v>15</v>
      </c>
      <c r="AH52" s="71"/>
    </row>
    <row r="53" spans="2:34" ht="13.5" outlineLevel="2" thickBot="1">
      <c r="B53" s="43"/>
      <c r="C53" s="43" t="s">
        <v>390</v>
      </c>
      <c r="D53" s="43"/>
      <c r="G53" s="38"/>
      <c r="H53" s="38"/>
      <c r="I53" s="324"/>
      <c r="J53" s="38"/>
      <c r="K53" s="52">
        <f>SQRT(SUMSQ(N54,N55))</f>
        <v>2E-3</v>
      </c>
      <c r="L53" s="355">
        <f>SQRT(SUMSQ(N54,N55))</f>
        <v>2E-3</v>
      </c>
      <c r="M53" s="53">
        <f>SQRT(SUMSQ(O54,O55))</f>
        <v>2E-3</v>
      </c>
      <c r="N53" s="66"/>
      <c r="O53" s="66"/>
      <c r="P53" s="59">
        <f t="shared" si="7"/>
        <v>0</v>
      </c>
      <c r="Q53" s="73">
        <f t="shared" si="8"/>
        <v>0</v>
      </c>
      <c r="R53" s="69"/>
      <c r="S53" s="350"/>
      <c r="T53" s="184" t="s">
        <v>393</v>
      </c>
      <c r="U53" s="75"/>
      <c r="V53" s="75" t="s">
        <v>21</v>
      </c>
      <c r="W53" s="74"/>
      <c r="X53" s="139"/>
      <c r="Y53" s="76"/>
      <c r="Z53" s="284" t="s">
        <v>15</v>
      </c>
      <c r="AH53" s="71"/>
    </row>
    <row r="54" spans="2:34" ht="13.5" outlineLevel="2" thickBot="1">
      <c r="B54" s="43"/>
      <c r="C54" s="43"/>
      <c r="D54" s="43" t="s">
        <v>391</v>
      </c>
      <c r="G54" s="38"/>
      <c r="H54" s="38"/>
      <c r="I54" s="324"/>
      <c r="J54" s="38"/>
      <c r="K54" s="66"/>
      <c r="L54" s="329"/>
      <c r="M54" s="66"/>
      <c r="N54" s="52">
        <v>2E-3</v>
      </c>
      <c r="O54" s="53">
        <v>2E-3</v>
      </c>
      <c r="P54" s="340"/>
      <c r="Q54" s="135">
        <f>IF(O54&gt;0,N54/O54-1,"N/A")</f>
        <v>0</v>
      </c>
      <c r="R54" s="69"/>
      <c r="S54" s="350" t="s">
        <v>399</v>
      </c>
      <c r="T54" s="184" t="s">
        <v>393</v>
      </c>
      <c r="U54" s="75"/>
      <c r="V54" s="75" t="s">
        <v>21</v>
      </c>
      <c r="W54" s="74"/>
      <c r="X54" s="139"/>
      <c r="Y54" s="76"/>
      <c r="Z54" s="284" t="s">
        <v>15</v>
      </c>
      <c r="AH54" s="71"/>
    </row>
    <row r="55" spans="2:34" ht="13.5" outlineLevel="2" thickBot="1">
      <c r="B55" s="43"/>
      <c r="C55" s="43"/>
      <c r="D55" s="43" t="s">
        <v>392</v>
      </c>
      <c r="G55" s="38"/>
      <c r="H55" s="38"/>
      <c r="I55" s="324"/>
      <c r="J55" s="38"/>
      <c r="K55" s="38"/>
      <c r="L55" s="324"/>
      <c r="M55" s="38"/>
      <c r="N55" s="52">
        <v>0</v>
      </c>
      <c r="O55" s="53">
        <v>0</v>
      </c>
      <c r="P55" s="340"/>
      <c r="Q55" s="135" t="str">
        <f>IF(O55&gt;0,N55/O55-1,"N/A")</f>
        <v>N/A</v>
      </c>
      <c r="R55" s="69"/>
      <c r="S55" s="350" t="s">
        <v>371</v>
      </c>
      <c r="T55" s="184" t="s">
        <v>393</v>
      </c>
      <c r="U55" s="75"/>
      <c r="V55" s="75" t="s">
        <v>21</v>
      </c>
      <c r="W55" s="74"/>
      <c r="X55" s="139"/>
      <c r="Y55" s="76"/>
      <c r="Z55" s="284" t="s">
        <v>15</v>
      </c>
      <c r="AH55" s="71"/>
    </row>
    <row r="56" spans="2:34" ht="13.5" outlineLevel="2" thickBot="1">
      <c r="B56" s="43"/>
      <c r="C56" s="43"/>
      <c r="D56" s="43"/>
      <c r="E56" s="29"/>
      <c r="F56" s="29"/>
      <c r="G56" s="66"/>
      <c r="H56" s="66"/>
      <c r="I56" s="329"/>
      <c r="J56" s="66"/>
      <c r="K56" s="66"/>
      <c r="L56" s="329"/>
      <c r="M56" s="66"/>
      <c r="N56" s="66"/>
      <c r="O56" s="66"/>
      <c r="P56" s="335"/>
      <c r="Q56" s="78"/>
      <c r="R56" s="88"/>
      <c r="S56" s="88"/>
      <c r="T56" s="88"/>
      <c r="U56" s="81"/>
      <c r="V56" s="81"/>
      <c r="W56" s="80"/>
      <c r="X56" s="87"/>
      <c r="Y56" s="80"/>
      <c r="Z56" s="285"/>
      <c r="AH56" s="71"/>
    </row>
    <row r="57" spans="2:34" ht="13.5" thickBot="1">
      <c r="B57" s="56" t="s">
        <v>327</v>
      </c>
      <c r="C57" s="56"/>
      <c r="D57" s="56"/>
      <c r="E57" s="40">
        <f>SQRT(SUMSQ(H58,H72))</f>
        <v>0.24215043361513935</v>
      </c>
      <c r="F57" s="354">
        <f>SQRT(SUMSQ(I58,I72))</f>
        <v>0.21768533937475557</v>
      </c>
      <c r="G57" s="41">
        <f>SQRT(SUMSQ(J58,J72))</f>
        <v>0.1933497515330444</v>
      </c>
      <c r="H57" s="47"/>
      <c r="I57" s="47"/>
      <c r="J57" s="47"/>
      <c r="K57" s="47"/>
      <c r="L57" s="47"/>
      <c r="M57" s="47"/>
      <c r="N57" s="47"/>
      <c r="O57" s="47"/>
      <c r="P57" s="262">
        <f>E57/F57-1</f>
        <v>0.11238742264708046</v>
      </c>
      <c r="Q57" s="89">
        <f>E57/G57-1</f>
        <v>0.25239588722075323</v>
      </c>
      <c r="R57" s="90"/>
      <c r="S57" s="90"/>
      <c r="T57" s="157"/>
      <c r="U57" s="92"/>
      <c r="V57" s="92" t="s">
        <v>449</v>
      </c>
      <c r="W57" s="93" t="s">
        <v>443</v>
      </c>
      <c r="X57" s="94" t="s">
        <v>452</v>
      </c>
      <c r="Y57" s="93"/>
      <c r="Z57" s="287"/>
      <c r="AH57" s="71"/>
    </row>
    <row r="58" spans="2:34" ht="13.5" outlineLevel="1" thickBot="1">
      <c r="B58" s="47" t="s">
        <v>126</v>
      </c>
      <c r="C58" s="159"/>
      <c r="D58" s="159"/>
      <c r="E58" s="159"/>
      <c r="F58" s="159"/>
      <c r="G58" s="160"/>
      <c r="H58" s="52">
        <f>SQRT(SUMSQ(K59,K66,K67,K68,K69,K70))</f>
        <v>0.24114208467208706</v>
      </c>
      <c r="I58" s="355">
        <f>SQRT(SUMSQ(L59,L66,L67,L68,L69,L70))</f>
        <v>0.19861545</v>
      </c>
      <c r="J58" s="53">
        <f>SQRT(SUMSQ(M59,M66,M67,M68,M69,M70))</f>
        <v>0.19304217303480606</v>
      </c>
      <c r="K58" s="161"/>
      <c r="L58" s="161"/>
      <c r="M58" s="161"/>
      <c r="N58" s="161"/>
      <c r="O58" s="161"/>
      <c r="P58" s="84">
        <f>IF(I58&gt;0,H58/I58-1,"N/A")</f>
        <v>0.21411544102982449</v>
      </c>
      <c r="Q58" s="59">
        <f>IF(J58&gt;0,H58/J58-1,"N/A")</f>
        <v>0.24916789363228142</v>
      </c>
      <c r="R58" s="162"/>
      <c r="S58" s="162"/>
      <c r="T58" s="163"/>
      <c r="U58" s="63"/>
      <c r="V58" s="63"/>
      <c r="W58" s="70"/>
      <c r="X58" s="181"/>
      <c r="Y58" s="70"/>
      <c r="Z58" s="283"/>
      <c r="AH58" s="71"/>
    </row>
    <row r="59" spans="2:34" ht="13.5" outlineLevel="2" thickBot="1">
      <c r="B59" s="34"/>
      <c r="C59" s="54" t="s">
        <v>127</v>
      </c>
      <c r="D59" s="54"/>
      <c r="E59" s="54"/>
      <c r="F59" s="327"/>
      <c r="G59" s="58"/>
      <c r="H59" s="164"/>
      <c r="I59" s="164"/>
      <c r="J59" s="165"/>
      <c r="K59" s="113">
        <f>SQRT(SUMSQ(N60,N61,N62,N63,N64))</f>
        <v>6.2132962266417013E-2</v>
      </c>
      <c r="L59" s="355">
        <v>0</v>
      </c>
      <c r="M59" s="53">
        <f>SQRT(SUMSQ(O60,O61,O62,O63,O64))</f>
        <v>5.166508076060658E-2</v>
      </c>
      <c r="N59" s="54"/>
      <c r="O59" s="54"/>
      <c r="P59" s="59" t="str">
        <f t="shared" ref="P59" si="9">IF(L59&gt;0,K59/L59-1,"N/A")</f>
        <v>N/A</v>
      </c>
      <c r="Q59" s="59">
        <f>IF(M59&gt;0,K59/M59-1,"N/A")</f>
        <v>0.20261037729359255</v>
      </c>
      <c r="R59" s="166" t="s">
        <v>536</v>
      </c>
      <c r="S59" s="166"/>
      <c r="T59" s="61"/>
      <c r="U59" s="63"/>
      <c r="V59" s="63" t="s">
        <v>453</v>
      </c>
      <c r="W59" s="70" t="s">
        <v>454</v>
      </c>
      <c r="X59" s="62" t="s">
        <v>455</v>
      </c>
      <c r="Y59" s="70"/>
      <c r="Z59" s="283"/>
      <c r="AH59" s="71"/>
    </row>
    <row r="60" spans="2:34" ht="26.25" outlineLevel="3" thickBot="1">
      <c r="B60" s="34"/>
      <c r="C60" s="43"/>
      <c r="D60" s="54" t="s">
        <v>245</v>
      </c>
      <c r="E60" s="66"/>
      <c r="F60" s="329"/>
      <c r="G60" s="67"/>
      <c r="H60" s="66"/>
      <c r="I60" s="329"/>
      <c r="J60" s="67"/>
      <c r="N60" s="52">
        <f>18*0.0033</f>
        <v>5.9400000000000001E-2</v>
      </c>
      <c r="O60" s="124">
        <f>15.3*0.0033</f>
        <v>5.049E-2</v>
      </c>
      <c r="P60" s="340">
        <f t="shared" ref="P60:Q64" si="10">IF(N60&gt;0,M60/N60-1,"N/A")</f>
        <v>-1</v>
      </c>
      <c r="Q60" s="135">
        <f t="shared" si="10"/>
        <v>0.17647058823529416</v>
      </c>
      <c r="R60" s="115"/>
      <c r="S60" s="115" t="s">
        <v>373</v>
      </c>
      <c r="T60" s="123" t="s">
        <v>372</v>
      </c>
      <c r="U60" s="63"/>
      <c r="V60" s="63" t="s">
        <v>90</v>
      </c>
      <c r="W60" s="70"/>
      <c r="X60" s="62"/>
      <c r="Y60" s="70"/>
      <c r="Z60" s="283" t="s">
        <v>128</v>
      </c>
      <c r="AH60" s="71"/>
    </row>
    <row r="61" spans="2:34" ht="13.5" outlineLevel="3" thickBot="1">
      <c r="B61" s="34"/>
      <c r="C61" s="43"/>
      <c r="D61" s="54" t="s">
        <v>241</v>
      </c>
      <c r="E61" s="66"/>
      <c r="F61" s="329"/>
      <c r="G61" s="67"/>
      <c r="H61" s="66"/>
      <c r="I61" s="329"/>
      <c r="J61" s="67"/>
      <c r="N61" s="52">
        <f>1.5*0.0033</f>
        <v>4.9499999999999995E-3</v>
      </c>
      <c r="O61" s="124">
        <f>3*0.43*0.0033</f>
        <v>4.2570000000000004E-3</v>
      </c>
      <c r="P61" s="340">
        <f t="shared" si="10"/>
        <v>-1</v>
      </c>
      <c r="Q61" s="135">
        <f t="shared" si="10"/>
        <v>0.16279069767441845</v>
      </c>
      <c r="R61" s="115"/>
      <c r="S61" s="115" t="s">
        <v>374</v>
      </c>
      <c r="T61" s="123" t="s">
        <v>372</v>
      </c>
      <c r="U61" s="63"/>
      <c r="V61" s="63" t="s">
        <v>90</v>
      </c>
      <c r="W61" s="70"/>
      <c r="X61" s="62"/>
      <c r="Y61" s="70"/>
      <c r="Z61" s="283"/>
      <c r="AH61" s="71"/>
    </row>
    <row r="62" spans="2:34" ht="26.25" outlineLevel="3" thickBot="1">
      <c r="B62" s="34"/>
      <c r="C62" s="43"/>
      <c r="D62" s="54" t="s">
        <v>129</v>
      </c>
      <c r="E62" s="66"/>
      <c r="F62" s="329"/>
      <c r="G62" s="67"/>
      <c r="H62" s="66"/>
      <c r="I62" s="329"/>
      <c r="J62" s="67"/>
      <c r="N62" s="52">
        <f>1*0.0033</f>
        <v>3.3E-3</v>
      </c>
      <c r="O62" s="124">
        <f>0.5*0.0033</f>
        <v>1.65E-3</v>
      </c>
      <c r="P62" s="340">
        <f t="shared" si="10"/>
        <v>-1</v>
      </c>
      <c r="Q62" s="135">
        <f t="shared" si="10"/>
        <v>1</v>
      </c>
      <c r="R62" s="115"/>
      <c r="S62" s="115" t="s">
        <v>375</v>
      </c>
      <c r="T62" s="123" t="s">
        <v>372</v>
      </c>
      <c r="U62" s="63"/>
      <c r="V62" s="63" t="s">
        <v>90</v>
      </c>
      <c r="W62" s="70"/>
      <c r="X62" s="62"/>
      <c r="Y62" s="70"/>
      <c r="Z62" s="283"/>
      <c r="AH62" s="71"/>
    </row>
    <row r="63" spans="2:34" ht="26.25" outlineLevel="3" thickBot="1">
      <c r="B63" s="34"/>
      <c r="C63" s="43"/>
      <c r="D63" s="54" t="s">
        <v>130</v>
      </c>
      <c r="E63" s="66"/>
      <c r="F63" s="329"/>
      <c r="G63" s="67"/>
      <c r="H63" s="66"/>
      <c r="I63" s="329"/>
      <c r="J63" s="67"/>
      <c r="N63" s="52">
        <f>1.5*0.0033</f>
        <v>4.9499999999999995E-3</v>
      </c>
      <c r="O63" s="124">
        <f>0.33*0.0033</f>
        <v>1.0890000000000001E-3</v>
      </c>
      <c r="P63" s="125">
        <f t="shared" si="10"/>
        <v>-1</v>
      </c>
      <c r="Q63" s="125">
        <f t="shared" si="10"/>
        <v>3.5454545454545441</v>
      </c>
      <c r="R63" s="140"/>
      <c r="S63" s="322" t="s">
        <v>376</v>
      </c>
      <c r="T63" s="123" t="s">
        <v>372</v>
      </c>
      <c r="U63" s="75"/>
      <c r="V63" s="75" t="s">
        <v>90</v>
      </c>
      <c r="W63" s="74"/>
      <c r="X63" s="139"/>
      <c r="Y63" s="74"/>
      <c r="Z63" s="284" t="s">
        <v>131</v>
      </c>
      <c r="AH63" s="71"/>
    </row>
    <row r="64" spans="2:34" s="65" customFormat="1" ht="13.5" outlineLevel="3" thickBot="1">
      <c r="D64" s="54" t="s">
        <v>89</v>
      </c>
      <c r="E64" s="54"/>
      <c r="F64" s="327"/>
      <c r="G64" s="58"/>
      <c r="I64" s="328"/>
      <c r="J64" s="67"/>
      <c r="K64" s="46"/>
      <c r="L64" s="326"/>
      <c r="N64" s="52">
        <f>5*0.0033</f>
        <v>1.6500000000000001E-2</v>
      </c>
      <c r="O64" s="53">
        <f>3*0.0033</f>
        <v>9.8999999999999991E-3</v>
      </c>
      <c r="P64" s="340">
        <f t="shared" si="10"/>
        <v>-1</v>
      </c>
      <c r="Q64" s="135">
        <f t="shared" si="10"/>
        <v>0.66666666666666696</v>
      </c>
      <c r="R64" s="177"/>
      <c r="S64" s="177" t="s">
        <v>377</v>
      </c>
      <c r="T64" s="123" t="s">
        <v>372</v>
      </c>
      <c r="U64" s="63"/>
      <c r="V64" s="63" t="s">
        <v>90</v>
      </c>
      <c r="W64" s="70"/>
      <c r="X64" s="62"/>
      <c r="Y64" s="70" t="s">
        <v>85</v>
      </c>
      <c r="Z64" s="288" t="s">
        <v>91</v>
      </c>
      <c r="AA64" s="46"/>
      <c r="AH64" s="143"/>
    </row>
    <row r="65" spans="2:34" ht="13.5" outlineLevel="3" thickBot="1">
      <c r="B65" s="34"/>
      <c r="C65" s="43"/>
      <c r="D65" s="54"/>
      <c r="E65" s="66"/>
      <c r="F65" s="329"/>
      <c r="G65" s="67"/>
      <c r="H65" s="66"/>
      <c r="I65" s="329"/>
      <c r="J65" s="67"/>
      <c r="N65" s="66"/>
      <c r="O65" s="66"/>
      <c r="P65" s="335"/>
      <c r="Q65" s="78"/>
      <c r="R65" s="134"/>
      <c r="S65" s="339"/>
      <c r="T65" s="134"/>
      <c r="U65" s="81"/>
      <c r="V65" s="81"/>
      <c r="W65" s="80"/>
      <c r="X65" s="87"/>
      <c r="Y65" s="80"/>
      <c r="Z65" s="285"/>
      <c r="AH65" s="71"/>
    </row>
    <row r="66" spans="2:34" ht="39" outlineLevel="2" thickBot="1">
      <c r="B66" s="34"/>
      <c r="C66" s="54" t="s">
        <v>132</v>
      </c>
      <c r="D66" s="66"/>
      <c r="E66" s="66"/>
      <c r="F66" s="329"/>
      <c r="G66" s="67"/>
      <c r="H66" s="66"/>
      <c r="I66" s="329"/>
      <c r="J66" s="67"/>
      <c r="K66" s="113">
        <v>0.23300000000000001</v>
      </c>
      <c r="L66" s="355">
        <f>0.0465*4.2713</f>
        <v>0.19861545</v>
      </c>
      <c r="M66" s="53">
        <v>0.186</v>
      </c>
      <c r="N66" s="66"/>
      <c r="O66" s="66"/>
      <c r="P66" s="59">
        <f t="shared" ref="P66:P70" si="11">IF(L66&gt;0,K66/L66-1,"N/A")</f>
        <v>0.17312122496009263</v>
      </c>
      <c r="Q66" s="84">
        <f>IF(M66&gt;0,K66/M66-1,"N/A")</f>
        <v>0.25268817204301075</v>
      </c>
      <c r="R66" s="179" t="s">
        <v>585</v>
      </c>
      <c r="S66" s="179" t="s">
        <v>548</v>
      </c>
      <c r="T66" s="187" t="s">
        <v>243</v>
      </c>
      <c r="U66" s="86"/>
      <c r="V66" s="86" t="s">
        <v>453</v>
      </c>
      <c r="W66" s="85" t="s">
        <v>454</v>
      </c>
      <c r="X66" s="182" t="s">
        <v>456</v>
      </c>
      <c r="Y66" s="85"/>
      <c r="Z66" s="286" t="s">
        <v>206</v>
      </c>
      <c r="AH66" s="71"/>
    </row>
    <row r="67" spans="2:34" ht="26.25" outlineLevel="2" thickBot="1">
      <c r="B67" s="34"/>
      <c r="C67" s="54" t="s">
        <v>133</v>
      </c>
      <c r="D67" s="66"/>
      <c r="E67" s="66"/>
      <c r="F67" s="329"/>
      <c r="G67" s="67"/>
      <c r="H67" s="66"/>
      <c r="I67" s="329"/>
      <c r="J67" s="67"/>
      <c r="K67" s="113">
        <v>0</v>
      </c>
      <c r="L67" s="355">
        <f>M67</f>
        <v>0</v>
      </c>
      <c r="M67" s="53">
        <v>0</v>
      </c>
      <c r="N67" s="66"/>
      <c r="O67" s="66"/>
      <c r="P67" s="59" t="str">
        <f t="shared" si="11"/>
        <v>N/A</v>
      </c>
      <c r="Q67" s="84" t="str">
        <f t="shared" ref="Q67:Q70" si="12">IF(M67&gt;0,K67/M67-1,"N/A")</f>
        <v>N/A</v>
      </c>
      <c r="R67" s="69" t="s">
        <v>534</v>
      </c>
      <c r="S67" s="350" t="s">
        <v>302</v>
      </c>
      <c r="T67" s="187"/>
      <c r="U67" s="63"/>
      <c r="V67" s="63" t="s">
        <v>453</v>
      </c>
      <c r="W67" s="70" t="s">
        <v>454</v>
      </c>
      <c r="X67" s="181" t="s">
        <v>457</v>
      </c>
      <c r="Y67" s="70"/>
      <c r="Z67" s="283" t="s">
        <v>134</v>
      </c>
      <c r="AH67" s="71"/>
    </row>
    <row r="68" spans="2:34" ht="26.25" outlineLevel="2" thickBot="1">
      <c r="B68" s="34"/>
      <c r="C68" s="54" t="s">
        <v>135</v>
      </c>
      <c r="D68" s="66"/>
      <c r="E68" s="66"/>
      <c r="F68" s="329"/>
      <c r="G68" s="67"/>
      <c r="H68" s="66"/>
      <c r="I68" s="329"/>
      <c r="J68" s="67"/>
      <c r="K68" s="113">
        <v>0</v>
      </c>
      <c r="L68" s="355">
        <f>M68</f>
        <v>0</v>
      </c>
      <c r="M68" s="53">
        <v>0</v>
      </c>
      <c r="N68" s="66"/>
      <c r="O68" s="66"/>
      <c r="P68" s="59" t="str">
        <f t="shared" si="11"/>
        <v>N/A</v>
      </c>
      <c r="Q68" s="84" t="str">
        <f t="shared" si="12"/>
        <v>N/A</v>
      </c>
      <c r="R68" s="166" t="s">
        <v>535</v>
      </c>
      <c r="S68" s="166" t="s">
        <v>303</v>
      </c>
      <c r="T68" s="61"/>
      <c r="U68" s="63"/>
      <c r="V68" s="63" t="s">
        <v>90</v>
      </c>
      <c r="W68" s="70"/>
      <c r="X68" s="181"/>
      <c r="Y68" s="70"/>
      <c r="Z68" s="283" t="s">
        <v>136</v>
      </c>
      <c r="AH68" s="71"/>
    </row>
    <row r="69" spans="2:34" ht="51.75" outlineLevel="2" thickBot="1">
      <c r="B69" s="167"/>
      <c r="C69" s="167" t="s">
        <v>137</v>
      </c>
      <c r="D69" s="168"/>
      <c r="E69" s="66"/>
      <c r="F69" s="329"/>
      <c r="G69" s="67"/>
      <c r="H69" s="66"/>
      <c r="I69" s="329"/>
      <c r="J69" s="67"/>
      <c r="K69" s="113">
        <v>0</v>
      </c>
      <c r="L69" s="355">
        <f>M69</f>
        <v>0</v>
      </c>
      <c r="M69" s="53">
        <v>0</v>
      </c>
      <c r="N69" s="66"/>
      <c r="O69" s="66"/>
      <c r="P69" s="59" t="str">
        <f t="shared" si="11"/>
        <v>N/A</v>
      </c>
      <c r="Q69" s="84" t="str">
        <f t="shared" si="12"/>
        <v>N/A</v>
      </c>
      <c r="R69" s="166" t="s">
        <v>535</v>
      </c>
      <c r="S69" s="350" t="s">
        <v>304</v>
      </c>
      <c r="T69" s="184"/>
      <c r="U69" s="63"/>
      <c r="V69" s="63"/>
      <c r="W69" s="70"/>
      <c r="X69" s="181"/>
      <c r="Y69" s="70"/>
      <c r="Z69" s="283"/>
      <c r="AH69" s="71"/>
    </row>
    <row r="70" spans="2:34" ht="26.25" outlineLevel="2" thickBot="1">
      <c r="B70" s="167"/>
      <c r="C70" s="167" t="s">
        <v>138</v>
      </c>
      <c r="D70" s="168"/>
      <c r="E70" s="66"/>
      <c r="F70" s="329"/>
      <c r="G70" s="67"/>
      <c r="H70" s="66"/>
      <c r="I70" s="329"/>
      <c r="J70" s="67"/>
      <c r="K70" s="113">
        <v>0</v>
      </c>
      <c r="L70" s="355">
        <f>M70</f>
        <v>0</v>
      </c>
      <c r="M70" s="53">
        <v>0</v>
      </c>
      <c r="N70" s="66"/>
      <c r="O70" s="66"/>
      <c r="P70" s="59" t="str">
        <f t="shared" si="11"/>
        <v>N/A</v>
      </c>
      <c r="Q70" s="84" t="str">
        <f t="shared" si="12"/>
        <v>N/A</v>
      </c>
      <c r="R70" s="166" t="s">
        <v>535</v>
      </c>
      <c r="S70" s="169" t="s">
        <v>305</v>
      </c>
      <c r="T70" s="185"/>
      <c r="U70" s="63"/>
      <c r="V70" s="63" t="s">
        <v>90</v>
      </c>
      <c r="W70" s="70"/>
      <c r="X70" s="183"/>
      <c r="Y70" s="74"/>
      <c r="Z70" s="284"/>
      <c r="AH70" s="71"/>
    </row>
    <row r="71" spans="2:34" ht="13.5" outlineLevel="2" thickBot="1">
      <c r="B71" s="34"/>
      <c r="C71" s="54"/>
      <c r="D71" s="66"/>
      <c r="E71" s="66"/>
      <c r="F71" s="329"/>
      <c r="G71" s="67"/>
      <c r="H71" s="66"/>
      <c r="I71" s="329"/>
      <c r="J71" s="66"/>
      <c r="K71" s="66"/>
      <c r="L71" s="329"/>
      <c r="M71" s="66"/>
      <c r="N71" s="66"/>
      <c r="O71" s="66"/>
      <c r="P71" s="335"/>
      <c r="Q71" s="78"/>
      <c r="R71" s="88"/>
      <c r="S71" s="88"/>
      <c r="T71" s="88"/>
      <c r="U71" s="81"/>
      <c r="V71" s="81"/>
      <c r="W71" s="80"/>
      <c r="X71" s="87"/>
      <c r="Y71" s="80"/>
      <c r="Z71" s="285"/>
      <c r="AH71" s="71"/>
    </row>
    <row r="72" spans="2:34" ht="90" outlineLevel="1" thickBot="1">
      <c r="B72" s="47" t="s">
        <v>139</v>
      </c>
      <c r="C72" s="159"/>
      <c r="D72" s="159"/>
      <c r="E72" s="159"/>
      <c r="F72" s="159"/>
      <c r="G72" s="160"/>
      <c r="H72" s="52">
        <f>SQRT(SUMSQ(K73,K74,K75,K76,K77,K78,K79))</f>
        <v>2.2075495464428423E-2</v>
      </c>
      <c r="I72" s="355">
        <f>27*0.0033</f>
        <v>8.9099999999999999E-2</v>
      </c>
      <c r="J72" s="53">
        <f>SQRT(SUMSQ(M73,M74,M75,M76,M77,M78,M79))</f>
        <v>1.0901644274603717E-2</v>
      </c>
      <c r="K72" s="161"/>
      <c r="L72" s="161"/>
      <c r="M72" s="161"/>
      <c r="N72" s="161"/>
      <c r="O72" s="161"/>
      <c r="P72" s="84">
        <f>IF(I72&gt;0,SQRT(H72^2+K59^2)/SQRT(I72^2+L59^2)-1,"N/A")</f>
        <v>-0.25995402953007074</v>
      </c>
      <c r="Q72" s="84">
        <f>IF(J72&gt;0,H72/J72-1,"N/A")</f>
        <v>1.0249693448404953</v>
      </c>
      <c r="R72" s="97" t="s">
        <v>580</v>
      </c>
      <c r="S72" s="170"/>
      <c r="T72" s="171"/>
      <c r="U72" s="86"/>
      <c r="V72" s="86" t="s">
        <v>453</v>
      </c>
      <c r="W72" s="85" t="s">
        <v>454</v>
      </c>
      <c r="X72" s="182" t="s">
        <v>455</v>
      </c>
      <c r="Y72" s="85"/>
      <c r="Z72" s="286"/>
      <c r="AH72" s="71"/>
    </row>
    <row r="73" spans="2:34" ht="26.25" outlineLevel="2" thickBot="1">
      <c r="B73" s="34"/>
      <c r="C73" s="54" t="s">
        <v>244</v>
      </c>
      <c r="D73" s="66"/>
      <c r="E73" s="66"/>
      <c r="F73" s="329"/>
      <c r="G73" s="66"/>
      <c r="H73" s="66"/>
      <c r="I73" s="329"/>
      <c r="J73" s="66"/>
      <c r="K73" s="52">
        <f>6*0.0033</f>
        <v>1.9799999999999998E-2</v>
      </c>
      <c r="L73" s="355"/>
      <c r="M73" s="53">
        <f>2.5*0.0033</f>
        <v>8.2500000000000004E-3</v>
      </c>
      <c r="N73" s="66"/>
      <c r="O73" s="66"/>
      <c r="P73" s="59" t="str">
        <f t="shared" ref="P73:P79" si="13">IF(L73&gt;0,K73/L73-1,"N/A")</f>
        <v>N/A</v>
      </c>
      <c r="Q73" s="59">
        <f t="shared" ref="Q73:Q79" si="14">IF(M73&gt;0,K73/M73-1,"N/A")</f>
        <v>1.3999999999999995</v>
      </c>
      <c r="R73" s="115"/>
      <c r="S73" s="115" t="s">
        <v>378</v>
      </c>
      <c r="T73" s="123" t="s">
        <v>372</v>
      </c>
      <c r="U73" s="63"/>
      <c r="V73" s="63" t="s">
        <v>56</v>
      </c>
      <c r="W73" s="70"/>
      <c r="X73" s="62"/>
      <c r="Y73" s="70"/>
      <c r="Z73" s="283" t="s">
        <v>141</v>
      </c>
      <c r="AH73" s="71"/>
    </row>
    <row r="74" spans="2:34" ht="26.25" outlineLevel="2" thickBot="1">
      <c r="B74" s="34"/>
      <c r="C74" s="54" t="s">
        <v>140</v>
      </c>
      <c r="D74" s="66"/>
      <c r="E74" s="66"/>
      <c r="F74" s="329"/>
      <c r="G74" s="66"/>
      <c r="H74" s="66"/>
      <c r="I74" s="329"/>
      <c r="J74" s="66"/>
      <c r="K74" s="52">
        <f>1.5*0.0033</f>
        <v>4.9499999999999995E-3</v>
      </c>
      <c r="L74" s="355"/>
      <c r="M74" s="124">
        <f>3*0.43*0.0033</f>
        <v>4.2570000000000004E-3</v>
      </c>
      <c r="N74" s="66"/>
      <c r="O74" s="66"/>
      <c r="P74" s="59" t="str">
        <f t="shared" si="13"/>
        <v>N/A</v>
      </c>
      <c r="Q74" s="59">
        <f t="shared" si="14"/>
        <v>0.16279069767441845</v>
      </c>
      <c r="R74" s="115"/>
      <c r="S74" s="115" t="s">
        <v>374</v>
      </c>
      <c r="T74" s="123" t="s">
        <v>372</v>
      </c>
      <c r="U74" s="63"/>
      <c r="V74" s="63" t="s">
        <v>56</v>
      </c>
      <c r="W74" s="70"/>
      <c r="X74" s="62"/>
      <c r="Y74" s="70"/>
      <c r="Z74" s="283" t="s">
        <v>141</v>
      </c>
      <c r="AH74" s="71"/>
    </row>
    <row r="75" spans="2:34" ht="26.25" outlineLevel="2" thickBot="1">
      <c r="B75" s="34"/>
      <c r="C75" s="66" t="s">
        <v>142</v>
      </c>
      <c r="D75" s="66"/>
      <c r="E75" s="66"/>
      <c r="F75" s="329"/>
      <c r="G75" s="66"/>
      <c r="H75" s="66"/>
      <c r="I75" s="329"/>
      <c r="J75" s="66"/>
      <c r="K75" s="52">
        <f>0.5*0.0033</f>
        <v>1.65E-3</v>
      </c>
      <c r="L75" s="355"/>
      <c r="M75" s="53">
        <f>3*0.1*0.0033</f>
        <v>9.9000000000000021E-4</v>
      </c>
      <c r="N75" s="66"/>
      <c r="O75" s="66"/>
      <c r="P75" s="59" t="str">
        <f t="shared" si="13"/>
        <v>N/A</v>
      </c>
      <c r="Q75" s="59">
        <f t="shared" si="14"/>
        <v>0.6666666666666663</v>
      </c>
      <c r="R75" s="232"/>
      <c r="S75" s="232" t="s">
        <v>379</v>
      </c>
      <c r="T75" s="123" t="s">
        <v>372</v>
      </c>
      <c r="U75" s="63"/>
      <c r="V75" s="63" t="s">
        <v>56</v>
      </c>
      <c r="W75" s="70"/>
      <c r="X75" s="62"/>
      <c r="Y75" s="70"/>
      <c r="Z75" s="283" t="s">
        <v>143</v>
      </c>
      <c r="AH75" s="71"/>
    </row>
    <row r="76" spans="2:34" ht="13.5" outlineLevel="2" thickBot="1">
      <c r="B76" s="34"/>
      <c r="C76" s="54" t="s">
        <v>144</v>
      </c>
      <c r="D76" s="66"/>
      <c r="E76" s="66"/>
      <c r="F76" s="329"/>
      <c r="G76" s="66"/>
      <c r="H76" s="66"/>
      <c r="I76" s="329"/>
      <c r="J76" s="66"/>
      <c r="K76" s="52">
        <f>2*0.0033</f>
        <v>6.6E-3</v>
      </c>
      <c r="L76" s="355"/>
      <c r="M76" s="53">
        <f>3*0.5*0.0033</f>
        <v>4.9499999999999995E-3</v>
      </c>
      <c r="N76" s="66"/>
      <c r="O76" s="66"/>
      <c r="P76" s="59" t="str">
        <f t="shared" si="13"/>
        <v>N/A</v>
      </c>
      <c r="Q76" s="73">
        <f t="shared" si="14"/>
        <v>0.33333333333333348</v>
      </c>
      <c r="R76" s="233"/>
      <c r="S76" s="233" t="s">
        <v>380</v>
      </c>
      <c r="T76" s="123" t="s">
        <v>372</v>
      </c>
      <c r="U76" s="75"/>
      <c r="V76" s="75" t="s">
        <v>56</v>
      </c>
      <c r="W76" s="74"/>
      <c r="X76" s="139"/>
      <c r="Y76" s="74"/>
      <c r="Z76" s="284" t="s">
        <v>145</v>
      </c>
      <c r="AH76" s="71"/>
    </row>
    <row r="77" spans="2:34" s="65" customFormat="1" ht="26.25" outlineLevel="2" thickBot="1">
      <c r="C77" s="66" t="s">
        <v>92</v>
      </c>
      <c r="D77" s="66"/>
      <c r="E77" s="54"/>
      <c r="F77" s="327"/>
      <c r="G77" s="54"/>
      <c r="H77" s="105"/>
      <c r="I77" s="105"/>
      <c r="K77" s="52">
        <f>1*0.0033</f>
        <v>3.3E-3</v>
      </c>
      <c r="L77" s="355"/>
      <c r="M77" s="53">
        <f>0.5*0.0033</f>
        <v>1.65E-3</v>
      </c>
      <c r="P77" s="59" t="str">
        <f t="shared" si="13"/>
        <v>N/A</v>
      </c>
      <c r="Q77" s="73">
        <f t="shared" si="14"/>
        <v>1</v>
      </c>
      <c r="R77" s="234"/>
      <c r="S77" s="234" t="s">
        <v>381</v>
      </c>
      <c r="T77" s="123" t="s">
        <v>372</v>
      </c>
      <c r="U77" s="75"/>
      <c r="V77" s="75" t="s">
        <v>56</v>
      </c>
      <c r="W77" s="74"/>
      <c r="X77" s="139"/>
      <c r="Y77" s="74" t="s">
        <v>85</v>
      </c>
      <c r="Z77" s="289" t="s">
        <v>93</v>
      </c>
      <c r="AA77" s="46"/>
      <c r="AH77" s="143"/>
    </row>
    <row r="78" spans="2:34" s="65" customFormat="1" ht="26.25" outlineLevel="2" thickBot="1">
      <c r="C78" s="66" t="s">
        <v>82</v>
      </c>
      <c r="D78" s="66"/>
      <c r="E78" s="54"/>
      <c r="F78" s="327"/>
      <c r="G78" s="54"/>
      <c r="H78" s="105"/>
      <c r="I78" s="105"/>
      <c r="K78" s="52">
        <f>1*0.0033</f>
        <v>3.3E-3</v>
      </c>
      <c r="L78" s="355"/>
      <c r="M78" s="53">
        <f>0.5*0.0033</f>
        <v>1.65E-3</v>
      </c>
      <c r="P78" s="59" t="str">
        <f t="shared" si="13"/>
        <v>N/A</v>
      </c>
      <c r="Q78" s="73">
        <f t="shared" si="14"/>
        <v>1</v>
      </c>
      <c r="R78" s="234"/>
      <c r="S78" s="234" t="s">
        <v>382</v>
      </c>
      <c r="T78" s="123" t="s">
        <v>372</v>
      </c>
      <c r="U78" s="63"/>
      <c r="V78" s="63" t="s">
        <v>56</v>
      </c>
      <c r="W78" s="70"/>
      <c r="X78" s="181"/>
      <c r="Y78" s="70" t="s">
        <v>63</v>
      </c>
      <c r="Z78" s="288" t="s">
        <v>83</v>
      </c>
      <c r="AA78" s="46"/>
      <c r="AH78" s="143"/>
    </row>
    <row r="79" spans="2:34" ht="26.25" outlineLevel="2" thickBot="1">
      <c r="B79" s="43"/>
      <c r="C79" s="66" t="s">
        <v>55</v>
      </c>
      <c r="D79" s="66"/>
      <c r="E79" s="66"/>
      <c r="F79" s="329"/>
      <c r="G79" s="66"/>
      <c r="H79" s="66"/>
      <c r="I79" s="329"/>
      <c r="J79" s="66"/>
      <c r="K79" s="52">
        <f>0.5*0.0033</f>
        <v>1.65E-3</v>
      </c>
      <c r="L79" s="355"/>
      <c r="M79" s="53">
        <f>3*0.133*0.0033</f>
        <v>1.3167000000000001E-3</v>
      </c>
      <c r="P79" s="59" t="str">
        <f t="shared" si="13"/>
        <v>N/A</v>
      </c>
      <c r="Q79" s="59">
        <f t="shared" si="14"/>
        <v>0.25313283208020043</v>
      </c>
      <c r="R79" s="231"/>
      <c r="S79" s="231" t="s">
        <v>326</v>
      </c>
      <c r="T79" s="123" t="s">
        <v>372</v>
      </c>
      <c r="U79" s="63"/>
      <c r="V79" s="63" t="s">
        <v>56</v>
      </c>
      <c r="W79" s="70"/>
      <c r="X79" s="181"/>
      <c r="Y79" s="70" t="s">
        <v>35</v>
      </c>
      <c r="Z79" s="288" t="s">
        <v>57</v>
      </c>
      <c r="AH79" s="71"/>
    </row>
    <row r="80" spans="2:34" s="105" customFormat="1" ht="13.5" outlineLevel="2" thickBot="1">
      <c r="B80" s="66"/>
      <c r="C80" s="54"/>
      <c r="E80" s="66">
        <v>8.7999999999999995E-2</v>
      </c>
      <c r="F80" s="329"/>
      <c r="G80" s="66" t="s">
        <v>404</v>
      </c>
      <c r="H80" s="66"/>
      <c r="I80" s="329"/>
      <c r="J80" s="66"/>
      <c r="K80" s="31"/>
      <c r="L80" s="31"/>
      <c r="M80" s="31"/>
      <c r="P80" s="33"/>
      <c r="Q80" s="33"/>
      <c r="R80" s="137"/>
      <c r="S80" s="137"/>
      <c r="T80" s="106"/>
      <c r="U80" s="54"/>
      <c r="V80" s="54"/>
      <c r="W80" s="32"/>
      <c r="X80" s="32"/>
      <c r="Y80" s="32"/>
      <c r="Z80" s="229"/>
      <c r="AH80" s="230"/>
    </row>
    <row r="81" spans="2:34" ht="13.5" thickBot="1">
      <c r="B81" s="56" t="s">
        <v>265</v>
      </c>
      <c r="C81" s="56"/>
      <c r="D81" s="56"/>
      <c r="E81" s="40">
        <f>SQRT(SUMSQ(H82,H87,H92,H97,H102,H107,H112))</f>
        <v>8.7632006763895667E-2</v>
      </c>
      <c r="F81" s="354">
        <f>SQRT(SUMSQ(I82,I87,I92,I97,I102,I107,I112))</f>
        <v>6.8221599285403944E-2</v>
      </c>
      <c r="G81" s="41">
        <f>SQRT(SUMSQ(J82,J87,J92,J97,J102,J107,J112))</f>
        <v>6.8221599285403944E-2</v>
      </c>
      <c r="H81" s="57"/>
      <c r="I81" s="57"/>
      <c r="J81" s="57"/>
      <c r="K81" s="57"/>
      <c r="L81" s="57"/>
      <c r="M81" s="57"/>
      <c r="N81" s="57"/>
      <c r="O81" s="57"/>
      <c r="P81" s="262">
        <f>E81/F81-1</f>
        <v>0.28451997141387153</v>
      </c>
      <c r="Q81" s="246">
        <f>E81/G81-1</f>
        <v>0.28451997141387153</v>
      </c>
      <c r="R81" s="247"/>
      <c r="S81" s="247"/>
      <c r="T81" s="248"/>
      <c r="U81" s="249"/>
      <c r="V81" s="249" t="s">
        <v>449</v>
      </c>
      <c r="W81" s="254" t="s">
        <v>443</v>
      </c>
      <c r="X81" s="254" t="s">
        <v>458</v>
      </c>
      <c r="Y81" s="254"/>
      <c r="Z81" s="299" t="s">
        <v>22</v>
      </c>
      <c r="AH81" s="71"/>
    </row>
    <row r="82" spans="2:34" ht="13.5" outlineLevel="1" thickBot="1">
      <c r="B82" s="47" t="s">
        <v>437</v>
      </c>
      <c r="C82" s="54"/>
      <c r="D82" s="54"/>
      <c r="E82" s="29"/>
      <c r="F82" s="29"/>
      <c r="G82" s="95"/>
      <c r="H82" s="52">
        <f>SQRT(SUMSQ(K83,K84,K85))</f>
        <v>4.6117377418929628E-2</v>
      </c>
      <c r="I82" s="355">
        <f>J82</f>
        <v>4.104764027645956E-2</v>
      </c>
      <c r="J82" s="53">
        <f>SQRT(SUMSQ(M83,M84,M85))</f>
        <v>4.104764027645956E-2</v>
      </c>
      <c r="K82" s="32"/>
      <c r="L82" s="32"/>
      <c r="M82" s="32"/>
      <c r="N82" s="32"/>
      <c r="O82" s="32"/>
      <c r="P82" s="84">
        <f>IF(I82&gt;0,H82/I82-1,"N/A")</f>
        <v>0.12350861360908771</v>
      </c>
      <c r="Q82" s="84">
        <f>IF(J82&gt;0,H82/J82-1,"N/A")</f>
        <v>0.12350861360908771</v>
      </c>
      <c r="R82" s="169" t="s">
        <v>531</v>
      </c>
      <c r="S82" s="97" t="s">
        <v>412</v>
      </c>
      <c r="T82" s="98"/>
      <c r="U82" s="132"/>
      <c r="V82" s="132"/>
      <c r="W82" s="85" t="s">
        <v>459</v>
      </c>
      <c r="X82" s="182"/>
      <c r="Y82" s="85"/>
      <c r="Z82" s="286"/>
      <c r="AH82" s="71"/>
    </row>
    <row r="83" spans="2:34" ht="26.25" outlineLevel="2" thickBot="1">
      <c r="B83" s="66"/>
      <c r="C83" s="66" t="s">
        <v>419</v>
      </c>
      <c r="D83" s="66"/>
      <c r="E83" s="29"/>
      <c r="F83" s="29"/>
      <c r="G83" s="67"/>
      <c r="H83" s="66"/>
      <c r="I83" s="329"/>
      <c r="J83" s="66"/>
      <c r="K83" s="52">
        <f>175*0.014/100</f>
        <v>2.4500000000000001E-2</v>
      </c>
      <c r="L83" s="355"/>
      <c r="M83" s="53">
        <f>154*0.014/100</f>
        <v>2.1560000000000003E-2</v>
      </c>
      <c r="N83" s="105"/>
      <c r="P83" s="59" t="str">
        <f t="shared" ref="P83:P85" si="15">IF(L83&gt;0,K83/L83-1,"N/A")</f>
        <v>N/A</v>
      </c>
      <c r="Q83" s="59">
        <f>IF(M83&gt;0,K83/M83-1,"N/A")</f>
        <v>0.13636363636363624</v>
      </c>
      <c r="R83" s="60"/>
      <c r="S83" s="60" t="s">
        <v>510</v>
      </c>
      <c r="T83" s="184" t="s">
        <v>409</v>
      </c>
      <c r="U83" s="110"/>
      <c r="V83" s="110" t="s">
        <v>460</v>
      </c>
      <c r="W83" s="70"/>
      <c r="X83" s="183"/>
      <c r="Y83" s="70"/>
      <c r="Z83" s="184" t="s">
        <v>413</v>
      </c>
      <c r="AH83" s="71"/>
    </row>
    <row r="84" spans="2:34" ht="26.25" outlineLevel="2" thickBot="1">
      <c r="B84" s="66"/>
      <c r="C84" s="66" t="s">
        <v>420</v>
      </c>
      <c r="D84" s="66"/>
      <c r="E84" s="66"/>
      <c r="F84" s="329"/>
      <c r="G84" s="67"/>
      <c r="H84" s="66"/>
      <c r="I84" s="329"/>
      <c r="J84" s="66"/>
      <c r="K84" s="52">
        <f>128*0.017/64</f>
        <v>3.4000000000000002E-2</v>
      </c>
      <c r="L84" s="355"/>
      <c r="M84" s="53">
        <f>115*0.017/64</f>
        <v>3.0546875000000001E-2</v>
      </c>
      <c r="N84" s="105"/>
      <c r="P84" s="59" t="str">
        <f t="shared" si="15"/>
        <v>N/A</v>
      </c>
      <c r="Q84" s="59">
        <f>IF(M84&gt;0,K84/M84-1,"N/A")</f>
        <v>0.11304347826086958</v>
      </c>
      <c r="R84" s="60"/>
      <c r="S84" s="60" t="s">
        <v>506</v>
      </c>
      <c r="T84" s="184" t="s">
        <v>409</v>
      </c>
      <c r="U84" s="110"/>
      <c r="V84" s="110" t="s">
        <v>460</v>
      </c>
      <c r="W84" s="70"/>
      <c r="X84" s="183"/>
      <c r="Y84" s="70"/>
      <c r="Z84" s="184" t="s">
        <v>413</v>
      </c>
      <c r="AH84" s="71"/>
    </row>
    <row r="85" spans="2:34" ht="26.25" outlineLevel="2" thickBot="1">
      <c r="B85" s="66"/>
      <c r="C85" s="66" t="s">
        <v>421</v>
      </c>
      <c r="D85" s="66"/>
      <c r="E85" s="66"/>
      <c r="F85" s="329"/>
      <c r="G85" s="67"/>
      <c r="H85" s="66"/>
      <c r="I85" s="329"/>
      <c r="J85" s="66"/>
      <c r="K85" s="52">
        <f>175*0.011/100</f>
        <v>1.925E-2</v>
      </c>
      <c r="L85" s="355"/>
      <c r="M85" s="53">
        <f>154*0.011/100</f>
        <v>1.694E-2</v>
      </c>
      <c r="N85" s="105"/>
      <c r="P85" s="59" t="str">
        <f t="shared" si="15"/>
        <v>N/A</v>
      </c>
      <c r="Q85" s="73">
        <f>IF(M85&gt;0,K85/M85-1,"N/A")</f>
        <v>0.13636363636363624</v>
      </c>
      <c r="R85" s="140"/>
      <c r="S85" s="322" t="s">
        <v>511</v>
      </c>
      <c r="T85" s="184" t="s">
        <v>409</v>
      </c>
      <c r="U85" s="310"/>
      <c r="V85" s="110" t="s">
        <v>460</v>
      </c>
      <c r="W85" s="74"/>
      <c r="X85" s="183"/>
      <c r="Y85" s="74"/>
      <c r="Z85" s="184" t="s">
        <v>413</v>
      </c>
      <c r="AH85" s="71"/>
    </row>
    <row r="86" spans="2:34" ht="13.5" outlineLevel="2" thickBot="1">
      <c r="B86" s="66"/>
      <c r="C86" s="66"/>
      <c r="D86" s="66"/>
      <c r="E86" s="66"/>
      <c r="F86" s="329"/>
      <c r="G86" s="67"/>
      <c r="H86" s="66"/>
      <c r="I86" s="329"/>
      <c r="J86" s="66"/>
      <c r="K86" s="66"/>
      <c r="L86" s="329"/>
      <c r="M86" s="66"/>
      <c r="P86" s="335"/>
      <c r="Q86" s="78"/>
      <c r="R86" s="88"/>
      <c r="S86" s="88"/>
      <c r="T86" s="88"/>
      <c r="U86" s="81"/>
      <c r="V86" s="81"/>
      <c r="W86" s="80"/>
      <c r="X86" s="87"/>
      <c r="Y86" s="80"/>
      <c r="Z86" s="186"/>
      <c r="AH86" s="71"/>
    </row>
    <row r="87" spans="2:34" ht="26.25" outlineLevel="1" thickBot="1">
      <c r="B87" s="47" t="s">
        <v>482</v>
      </c>
      <c r="C87" s="54"/>
      <c r="D87" s="54"/>
      <c r="E87" s="29"/>
      <c r="F87" s="29"/>
      <c r="G87" s="66"/>
      <c r="H87" s="52">
        <f>SQRT(SUMSQ(K88,K89,K90))</f>
        <v>3.9561674755594661E-2</v>
      </c>
      <c r="I87" s="355">
        <f>J87</f>
        <v>2.6995394095416795E-2</v>
      </c>
      <c r="J87" s="53">
        <f>SQRT(SUMSQ(M88,M89,M90))</f>
        <v>2.6995394095416795E-2</v>
      </c>
      <c r="K87" s="32"/>
      <c r="L87" s="32"/>
      <c r="M87" s="32"/>
      <c r="N87" s="32"/>
      <c r="O87" s="32"/>
      <c r="P87" s="84">
        <f>IF(I87&gt;0,H87/I87-1,"N/A")</f>
        <v>0.46549721095982566</v>
      </c>
      <c r="Q87" s="84">
        <f>IF(J87&gt;0,H87/J87-1,"N/A")</f>
        <v>0.46549721095982566</v>
      </c>
      <c r="R87" s="169" t="s">
        <v>531</v>
      </c>
      <c r="S87" s="97" t="s">
        <v>408</v>
      </c>
      <c r="T87" s="98"/>
      <c r="U87" s="132"/>
      <c r="V87" s="132"/>
      <c r="W87" s="85" t="s">
        <v>459</v>
      </c>
      <c r="X87" s="182"/>
      <c r="Y87" s="85"/>
      <c r="Z87" s="187"/>
      <c r="AH87" s="71"/>
    </row>
    <row r="88" spans="2:34" ht="26.25" outlineLevel="2" thickBot="1">
      <c r="B88" s="66"/>
      <c r="C88" s="66" t="s">
        <v>422</v>
      </c>
      <c r="D88" s="66"/>
      <c r="E88" s="29"/>
      <c r="F88" s="29"/>
      <c r="G88" s="67"/>
      <c r="H88" s="66"/>
      <c r="I88" s="329"/>
      <c r="J88" s="66"/>
      <c r="K88" s="52">
        <f>75*0.015/100</f>
        <v>1.125E-2</v>
      </c>
      <c r="L88" s="355"/>
      <c r="M88" s="53">
        <f>53*0.015/100</f>
        <v>7.9499999999999987E-3</v>
      </c>
      <c r="N88" s="105"/>
      <c r="P88" s="59" t="str">
        <f t="shared" ref="P88:P90" si="16">IF(L88&gt;0,K88/L88-1,"N/A")</f>
        <v>N/A</v>
      </c>
      <c r="Q88" s="59">
        <f>IF(M88&gt;0,K88/M88-1,"N/A")</f>
        <v>0.41509433962264164</v>
      </c>
      <c r="R88" s="60"/>
      <c r="S88" s="60" t="s">
        <v>512</v>
      </c>
      <c r="T88" s="184" t="s">
        <v>409</v>
      </c>
      <c r="U88" s="110"/>
      <c r="V88" s="110" t="s">
        <v>460</v>
      </c>
      <c r="W88" s="70"/>
      <c r="X88" s="183"/>
      <c r="Y88" s="70"/>
      <c r="Z88" s="184" t="s">
        <v>410</v>
      </c>
      <c r="AH88" s="71"/>
    </row>
    <row r="89" spans="2:34" ht="39" outlineLevel="2" thickBot="1">
      <c r="B89" s="66"/>
      <c r="C89" s="66" t="s">
        <v>423</v>
      </c>
      <c r="D89" s="66"/>
      <c r="E89" s="66"/>
      <c r="F89" s="329"/>
      <c r="G89" s="67"/>
      <c r="H89" s="66"/>
      <c r="I89" s="329"/>
      <c r="J89" s="66"/>
      <c r="K89" s="52">
        <f>73*0.035/91</f>
        <v>2.8076923076923079E-2</v>
      </c>
      <c r="L89" s="355"/>
      <c r="M89" s="53">
        <f>48*0.035/91</f>
        <v>1.8461538461538463E-2</v>
      </c>
      <c r="N89" s="105"/>
      <c r="P89" s="59" t="str">
        <f t="shared" si="16"/>
        <v>N/A</v>
      </c>
      <c r="Q89" s="59">
        <f>IF(M89&gt;0,K89/M89-1,"N/A")</f>
        <v>0.52083333333333326</v>
      </c>
      <c r="R89" s="60"/>
      <c r="S89" s="60" t="s">
        <v>513</v>
      </c>
      <c r="T89" s="184" t="s">
        <v>409</v>
      </c>
      <c r="U89" s="110"/>
      <c r="V89" s="110" t="s">
        <v>460</v>
      </c>
      <c r="W89" s="70"/>
      <c r="X89" s="183"/>
      <c r="Y89" s="70"/>
      <c r="Z89" s="184" t="s">
        <v>410</v>
      </c>
      <c r="AH89" s="71"/>
    </row>
    <row r="90" spans="2:34" ht="26.25" outlineLevel="2" thickBot="1">
      <c r="B90" s="66"/>
      <c r="C90" s="66" t="s">
        <v>424</v>
      </c>
      <c r="D90" s="66"/>
      <c r="E90" s="66"/>
      <c r="F90" s="329"/>
      <c r="G90" s="67"/>
      <c r="H90" s="66"/>
      <c r="I90" s="329"/>
      <c r="J90" s="66"/>
      <c r="K90" s="52">
        <f>75*0.034/100</f>
        <v>2.5500000000000002E-2</v>
      </c>
      <c r="L90" s="355"/>
      <c r="M90" s="53">
        <f>53*0.034/100</f>
        <v>1.8020000000000001E-2</v>
      </c>
      <c r="N90" s="105"/>
      <c r="P90" s="59" t="str">
        <f t="shared" si="16"/>
        <v>N/A</v>
      </c>
      <c r="Q90" s="73">
        <f>IF(M90&gt;0,K90/M90-1,"N/A")</f>
        <v>0.41509433962264142</v>
      </c>
      <c r="R90" s="140"/>
      <c r="S90" s="322" t="s">
        <v>488</v>
      </c>
      <c r="T90" s="184" t="s">
        <v>409</v>
      </c>
      <c r="U90" s="310"/>
      <c r="V90" s="310" t="s">
        <v>460</v>
      </c>
      <c r="W90" s="74"/>
      <c r="X90" s="183"/>
      <c r="Y90" s="74"/>
      <c r="Z90" s="184" t="s">
        <v>410</v>
      </c>
      <c r="AH90" s="71"/>
    </row>
    <row r="91" spans="2:34" ht="13.5" outlineLevel="2" thickBot="1">
      <c r="B91" s="66"/>
      <c r="C91" s="66"/>
      <c r="D91" s="66"/>
      <c r="E91" s="66"/>
      <c r="F91" s="329"/>
      <c r="G91" s="67"/>
      <c r="H91" s="66"/>
      <c r="I91" s="329"/>
      <c r="J91" s="66"/>
      <c r="K91" s="66"/>
      <c r="L91" s="329"/>
      <c r="M91" s="66"/>
      <c r="P91" s="335"/>
      <c r="Q91" s="78"/>
      <c r="R91" s="88"/>
      <c r="S91" s="88"/>
      <c r="T91" s="88"/>
      <c r="U91" s="81"/>
      <c r="V91" s="81"/>
      <c r="W91" s="80"/>
      <c r="X91" s="87"/>
      <c r="Y91" s="80"/>
      <c r="Z91" s="186"/>
      <c r="AH91" s="71"/>
    </row>
    <row r="92" spans="2:34" ht="26.25" outlineLevel="1" thickBot="1">
      <c r="B92" s="47" t="s">
        <v>403</v>
      </c>
      <c r="C92" s="54"/>
      <c r="D92" s="54"/>
      <c r="E92" s="29"/>
      <c r="F92" s="29"/>
      <c r="G92" s="66"/>
      <c r="H92" s="52">
        <f>SQRT(SUMSQ(K93,K94,K95))</f>
        <v>2.4292385638302386E-2</v>
      </c>
      <c r="I92" s="355">
        <f>J92</f>
        <v>1.8957384737739395E-2</v>
      </c>
      <c r="J92" s="53">
        <f>SQRT(SUMSQ(M93,M94,M95))</f>
        <v>1.8957384737739395E-2</v>
      </c>
      <c r="K92" s="32"/>
      <c r="L92" s="32"/>
      <c r="M92" s="32"/>
      <c r="N92" s="32"/>
      <c r="O92" s="32"/>
      <c r="P92" s="84">
        <f>IF(I92&gt;0,H92/I92-1,"N/A")</f>
        <v>0.28142072202303003</v>
      </c>
      <c r="Q92" s="84">
        <f>IF(J92&gt;0,H92/J92-1,"N/A")</f>
        <v>0.28142072202303003</v>
      </c>
      <c r="R92" s="169" t="s">
        <v>531</v>
      </c>
      <c r="S92" s="97" t="s">
        <v>414</v>
      </c>
      <c r="T92" s="98"/>
      <c r="U92" s="132"/>
      <c r="V92" s="132"/>
      <c r="W92" s="85" t="s">
        <v>459</v>
      </c>
      <c r="X92" s="182"/>
      <c r="Y92" s="85"/>
      <c r="Z92" s="187"/>
      <c r="AH92" s="71"/>
    </row>
    <row r="93" spans="2:34" ht="51.75" outlineLevel="2" thickBot="1">
      <c r="B93" s="66"/>
      <c r="C93" s="66" t="s">
        <v>416</v>
      </c>
      <c r="D93" s="66"/>
      <c r="E93" s="29"/>
      <c r="F93" s="29"/>
      <c r="G93" s="67"/>
      <c r="H93" s="66"/>
      <c r="I93" s="329"/>
      <c r="J93" s="66"/>
      <c r="K93" s="52">
        <f>80*0.002/100</f>
        <v>1.6000000000000001E-3</v>
      </c>
      <c r="L93" s="355"/>
      <c r="M93" s="53">
        <f>61*0.002/100</f>
        <v>1.2199999999999999E-3</v>
      </c>
      <c r="N93" s="105"/>
      <c r="P93" s="59" t="str">
        <f t="shared" ref="P93:P95" si="17">IF(L93&gt;0,K93/L93-1,"N/A")</f>
        <v>N/A</v>
      </c>
      <c r="Q93" s="59">
        <f>IF(M93&gt;0,K93/M93-1,"N/A")</f>
        <v>0.3114754098360657</v>
      </c>
      <c r="R93" s="60"/>
      <c r="S93" s="60" t="s">
        <v>514</v>
      </c>
      <c r="T93" s="184" t="s">
        <v>409</v>
      </c>
      <c r="U93" s="110"/>
      <c r="V93" s="310" t="s">
        <v>460</v>
      </c>
      <c r="W93" s="70"/>
      <c r="X93" s="183"/>
      <c r="Y93" s="70"/>
      <c r="Z93" s="184" t="s">
        <v>415</v>
      </c>
      <c r="AH93" s="71"/>
    </row>
    <row r="94" spans="2:34" ht="51.75" outlineLevel="2" thickBot="1">
      <c r="B94" s="66"/>
      <c r="C94" s="66" t="s">
        <v>417</v>
      </c>
      <c r="D94" s="66"/>
      <c r="E94" s="66"/>
      <c r="F94" s="329"/>
      <c r="G94" s="67"/>
      <c r="H94" s="66"/>
      <c r="I94" s="329"/>
      <c r="J94" s="66"/>
      <c r="K94" s="52">
        <f>91*0.011/91</f>
        <v>1.0999999999999999E-2</v>
      </c>
      <c r="L94" s="355"/>
      <c r="M94" s="53">
        <f>77*0.011/91</f>
        <v>9.3076923076923068E-3</v>
      </c>
      <c r="N94" s="105"/>
      <c r="P94" s="59" t="str">
        <f t="shared" si="17"/>
        <v>N/A</v>
      </c>
      <c r="Q94" s="59">
        <f>IF(M94&gt;0,K94/M94-1,"N/A")</f>
        <v>0.18181818181818188</v>
      </c>
      <c r="R94" s="60"/>
      <c r="S94" s="60" t="s">
        <v>489</v>
      </c>
      <c r="T94" s="184" t="s">
        <v>409</v>
      </c>
      <c r="U94" s="110"/>
      <c r="V94" s="310" t="s">
        <v>460</v>
      </c>
      <c r="W94" s="70"/>
      <c r="X94" s="183"/>
      <c r="Y94" s="70"/>
      <c r="Z94" s="184" t="s">
        <v>415</v>
      </c>
      <c r="AH94" s="71"/>
    </row>
    <row r="95" spans="2:34" ht="51.75" outlineLevel="2" thickBot="1">
      <c r="B95" s="66"/>
      <c r="C95" s="66" t="s">
        <v>418</v>
      </c>
      <c r="D95" s="66"/>
      <c r="E95" s="66"/>
      <c r="F95" s="329"/>
      <c r="G95" s="67"/>
      <c r="H95" s="66"/>
      <c r="I95" s="329"/>
      <c r="J95" s="66"/>
      <c r="K95" s="52">
        <f>80*0.027/100</f>
        <v>2.1600000000000001E-2</v>
      </c>
      <c r="L95" s="355"/>
      <c r="M95" s="53">
        <f>61*0.027/100</f>
        <v>1.6469999999999999E-2</v>
      </c>
      <c r="N95" s="105"/>
      <c r="P95" s="59" t="str">
        <f t="shared" si="17"/>
        <v>N/A</v>
      </c>
      <c r="Q95" s="73">
        <f>IF(M95&gt;0,K95/M95-1,"N/A")</f>
        <v>0.3114754098360657</v>
      </c>
      <c r="R95" s="140"/>
      <c r="S95" s="322" t="s">
        <v>515</v>
      </c>
      <c r="T95" s="184" t="s">
        <v>409</v>
      </c>
      <c r="U95" s="310"/>
      <c r="V95" s="310" t="s">
        <v>460</v>
      </c>
      <c r="W95" s="74"/>
      <c r="X95" s="183"/>
      <c r="Y95" s="74"/>
      <c r="Z95" s="184" t="s">
        <v>415</v>
      </c>
      <c r="AH95" s="71"/>
    </row>
    <row r="96" spans="2:34" ht="13.5" outlineLevel="2" thickBot="1">
      <c r="B96" s="66"/>
      <c r="C96" s="66"/>
      <c r="D96" s="66"/>
      <c r="E96" s="66"/>
      <c r="F96" s="329"/>
      <c r="G96" s="67"/>
      <c r="H96" s="66"/>
      <c r="I96" s="329"/>
      <c r="J96" s="66"/>
      <c r="K96" s="66"/>
      <c r="L96" s="329"/>
      <c r="M96" s="66"/>
      <c r="P96" s="335"/>
      <c r="Q96" s="78"/>
      <c r="R96" s="88"/>
      <c r="S96" s="88"/>
      <c r="T96" s="88"/>
      <c r="U96" s="81"/>
      <c r="V96" s="81"/>
      <c r="W96" s="80"/>
      <c r="X96" s="87"/>
      <c r="Y96" s="80"/>
      <c r="Z96" s="285"/>
      <c r="AH96" s="71"/>
    </row>
    <row r="97" spans="1:34" ht="26.25" outlineLevel="1" thickBot="1">
      <c r="B97" s="47" t="s">
        <v>24</v>
      </c>
      <c r="C97" s="54"/>
      <c r="D97" s="54"/>
      <c r="E97" s="54"/>
      <c r="F97" s="327"/>
      <c r="G97" s="96"/>
      <c r="H97" s="52">
        <f>SQRT(SUMSQ(K98,K99,K100))</f>
        <v>9.539392014169458E-3</v>
      </c>
      <c r="I97" s="355">
        <f>J97</f>
        <v>6.9628158097137689E-3</v>
      </c>
      <c r="J97" s="53">
        <f>SQRT(SUMSQ(M98,M99,M100))</f>
        <v>6.9628158097137689E-3</v>
      </c>
      <c r="K97" s="32"/>
      <c r="L97" s="32"/>
      <c r="M97" s="32"/>
      <c r="P97" s="84">
        <f>IF(I97&gt;0,H97/I97-1,"N/A")</f>
        <v>0.37004802006411364</v>
      </c>
      <c r="Q97" s="84">
        <f>IF(J97&gt;0,H97/J97-1,"N/A")</f>
        <v>0.37004802006411364</v>
      </c>
      <c r="R97" s="169" t="s">
        <v>531</v>
      </c>
      <c r="S97" s="97" t="s">
        <v>428</v>
      </c>
      <c r="T97" s="98"/>
      <c r="U97" s="132"/>
      <c r="V97" s="132" t="s">
        <v>461</v>
      </c>
      <c r="W97" s="85" t="s">
        <v>459</v>
      </c>
      <c r="X97" s="183"/>
      <c r="Y97" s="85"/>
      <c r="Z97" s="286"/>
      <c r="AH97" s="71"/>
    </row>
    <row r="98" spans="1:34" ht="39" outlineLevel="2" thickBot="1">
      <c r="B98" s="66"/>
      <c r="C98" s="66" t="s">
        <v>425</v>
      </c>
      <c r="D98" s="66"/>
      <c r="E98" s="66"/>
      <c r="F98" s="329"/>
      <c r="G98" s="67"/>
      <c r="H98" s="66"/>
      <c r="I98" s="329"/>
      <c r="J98" s="66"/>
      <c r="K98" s="52">
        <v>1E-3</v>
      </c>
      <c r="L98" s="355"/>
      <c r="M98" s="53">
        <f>0</f>
        <v>0</v>
      </c>
      <c r="N98" s="105"/>
      <c r="P98" s="59" t="str">
        <f t="shared" ref="P98:P100" si="18">IF(L98&gt;0,K98/L98-1,"N/A")</f>
        <v>N/A</v>
      </c>
      <c r="Q98" s="59" t="str">
        <f>IF(M98&gt;0,K98/M98-1,"N/A")</f>
        <v>N/A</v>
      </c>
      <c r="R98" s="60"/>
      <c r="S98" s="60" t="s">
        <v>483</v>
      </c>
      <c r="T98" s="184" t="s">
        <v>409</v>
      </c>
      <c r="U98" s="110"/>
      <c r="V98" s="311" t="s">
        <v>461</v>
      </c>
      <c r="W98" s="70" t="s">
        <v>462</v>
      </c>
      <c r="X98" s="185" t="s">
        <v>463</v>
      </c>
      <c r="Y98" s="70"/>
      <c r="Z98" s="184" t="s">
        <v>429</v>
      </c>
      <c r="AH98" s="71"/>
    </row>
    <row r="99" spans="1:34" ht="39" outlineLevel="2" thickBot="1">
      <c r="B99" s="66"/>
      <c r="C99" s="66" t="s">
        <v>426</v>
      </c>
      <c r="D99" s="66"/>
      <c r="E99" s="66"/>
      <c r="F99" s="329"/>
      <c r="G99" s="67"/>
      <c r="H99" s="66"/>
      <c r="I99" s="329"/>
      <c r="J99" s="66"/>
      <c r="K99" s="52">
        <f>MAX(1000*0.0003/100,0.001)</f>
        <v>3.0000000000000001E-3</v>
      </c>
      <c r="L99" s="355"/>
      <c r="M99" s="53">
        <f>434*0.0003/100</f>
        <v>1.3019999999999998E-3</v>
      </c>
      <c r="N99" s="105"/>
      <c r="P99" s="59" t="str">
        <f t="shared" si="18"/>
        <v>N/A</v>
      </c>
      <c r="Q99" s="59">
        <f>IF(M99&gt;0,K99/M99-1,"N/A")</f>
        <v>1.3041474654377883</v>
      </c>
      <c r="R99" s="60"/>
      <c r="S99" s="60" t="s">
        <v>508</v>
      </c>
      <c r="T99" s="184" t="s">
        <v>409</v>
      </c>
      <c r="U99" s="110"/>
      <c r="V99" s="311" t="s">
        <v>461</v>
      </c>
      <c r="W99" s="70" t="s">
        <v>462</v>
      </c>
      <c r="X99" s="185" t="s">
        <v>463</v>
      </c>
      <c r="Y99" s="70"/>
      <c r="Z99" s="184" t="s">
        <v>429</v>
      </c>
      <c r="AH99" s="71"/>
    </row>
    <row r="100" spans="1:34" ht="39" outlineLevel="2" thickBot="1">
      <c r="B100" s="66"/>
      <c r="C100" s="66" t="s">
        <v>427</v>
      </c>
      <c r="D100" s="66"/>
      <c r="E100" s="66"/>
      <c r="F100" s="329"/>
      <c r="G100" s="67"/>
      <c r="H100" s="66"/>
      <c r="I100" s="329"/>
      <c r="J100" s="66"/>
      <c r="K100" s="52">
        <f>300*0.003/100</f>
        <v>9.0000000000000011E-3</v>
      </c>
      <c r="L100" s="355"/>
      <c r="M100" s="53">
        <f>228*0.003/100</f>
        <v>6.8400000000000006E-3</v>
      </c>
      <c r="N100" s="105"/>
      <c r="P100" s="59" t="str">
        <f t="shared" si="18"/>
        <v>N/A</v>
      </c>
      <c r="Q100" s="73">
        <f>IF(M100&gt;0,K100/M100-1,"N/A")</f>
        <v>0.31578947368421062</v>
      </c>
      <c r="R100" s="140"/>
      <c r="S100" s="322" t="s">
        <v>509</v>
      </c>
      <c r="T100" s="184" t="s">
        <v>409</v>
      </c>
      <c r="U100" s="310"/>
      <c r="V100" s="311" t="s">
        <v>461</v>
      </c>
      <c r="W100" s="74" t="s">
        <v>462</v>
      </c>
      <c r="X100" s="185" t="s">
        <v>463</v>
      </c>
      <c r="Y100" s="74"/>
      <c r="Z100" s="184" t="s">
        <v>429</v>
      </c>
      <c r="AH100" s="71"/>
    </row>
    <row r="101" spans="1:34" ht="13.5" outlineLevel="2" thickBot="1">
      <c r="B101" s="66"/>
      <c r="C101" s="66"/>
      <c r="D101" s="66"/>
      <c r="E101" s="66"/>
      <c r="F101" s="329"/>
      <c r="G101" s="67"/>
      <c r="H101" s="66"/>
      <c r="I101" s="329"/>
      <c r="J101" s="66"/>
      <c r="K101" s="66"/>
      <c r="L101" s="329"/>
      <c r="M101" s="66"/>
      <c r="P101" s="335"/>
      <c r="Q101" s="78"/>
      <c r="R101" s="88"/>
      <c r="S101" s="88"/>
      <c r="T101" s="88"/>
      <c r="U101" s="81"/>
      <c r="V101" s="81"/>
      <c r="W101" s="80"/>
      <c r="X101" s="87"/>
      <c r="Y101" s="80"/>
      <c r="Z101" s="186"/>
      <c r="AH101" s="71"/>
    </row>
    <row r="102" spans="1:34" ht="13.5" outlineLevel="1" thickBot="1">
      <c r="B102" s="47" t="s">
        <v>26</v>
      </c>
      <c r="C102" s="54"/>
      <c r="D102" s="54"/>
      <c r="E102" s="54"/>
      <c r="F102" s="327"/>
      <c r="G102" s="96"/>
      <c r="H102" s="52">
        <f>SQRT(SUMSQ(K103,K104,K105))</f>
        <v>2.5961509971494341E-2</v>
      </c>
      <c r="I102" s="355">
        <f>J102</f>
        <v>2.1906935709942333E-2</v>
      </c>
      <c r="J102" s="53">
        <f>SQRT(SUMSQ(M103,M104,M105))</f>
        <v>2.1906935709942333E-2</v>
      </c>
      <c r="K102" s="32"/>
      <c r="L102" s="32"/>
      <c r="M102" s="32"/>
      <c r="P102" s="84">
        <f>IF(I102&gt;0,H102/I102-1,"N/A")</f>
        <v>0.18508176201529936</v>
      </c>
      <c r="Q102" s="84">
        <f>IF(J102&gt;0,H102/J102-1,"N/A")</f>
        <v>0.18508176201529936</v>
      </c>
      <c r="R102" s="169" t="s">
        <v>531</v>
      </c>
      <c r="S102" s="97"/>
      <c r="T102" s="98"/>
      <c r="U102" s="132"/>
      <c r="V102" s="132"/>
      <c r="W102" s="85" t="s">
        <v>459</v>
      </c>
      <c r="X102" s="183"/>
      <c r="Y102" s="85"/>
      <c r="Z102" s="187"/>
      <c r="AH102" s="71"/>
    </row>
    <row r="103" spans="1:34" ht="39" outlineLevel="2" thickBot="1">
      <c r="B103" s="66"/>
      <c r="C103" s="66" t="s">
        <v>27</v>
      </c>
      <c r="D103" s="66"/>
      <c r="E103" s="66"/>
      <c r="F103" s="329"/>
      <c r="G103" s="67"/>
      <c r="H103" s="66"/>
      <c r="I103" s="329"/>
      <c r="J103" s="66"/>
      <c r="K103" s="52">
        <v>0</v>
      </c>
      <c r="L103" s="355"/>
      <c r="M103" s="53">
        <v>0</v>
      </c>
      <c r="P103" s="59" t="str">
        <f t="shared" ref="P103:P105" si="19">IF(L103&gt;0,K103/L103-1,"N/A")</f>
        <v>N/A</v>
      </c>
      <c r="Q103" s="59" t="str">
        <f>IF(M103&gt;0,K103/M103-1,"N/A")</f>
        <v>N/A</v>
      </c>
      <c r="R103" s="60"/>
      <c r="S103" s="60" t="s">
        <v>484</v>
      </c>
      <c r="T103" s="184" t="s">
        <v>409</v>
      </c>
      <c r="U103" s="110"/>
      <c r="V103" s="311" t="s">
        <v>464</v>
      </c>
      <c r="W103" s="70"/>
      <c r="X103" s="183"/>
      <c r="Y103" s="70"/>
      <c r="Z103" s="184" t="s">
        <v>430</v>
      </c>
      <c r="AH103" s="71"/>
    </row>
    <row r="104" spans="1:34" ht="39" outlineLevel="2" thickBot="1">
      <c r="B104" s="66"/>
      <c r="C104" s="66" t="s">
        <v>29</v>
      </c>
      <c r="D104" s="66"/>
      <c r="E104" s="66"/>
      <c r="F104" s="329"/>
      <c r="G104" s="67"/>
      <c r="H104" s="66"/>
      <c r="I104" s="329"/>
      <c r="J104" s="66"/>
      <c r="K104" s="52">
        <f>145*0.007/145</f>
        <v>7.000000000000001E-3</v>
      </c>
      <c r="L104" s="355"/>
      <c r="M104" s="53">
        <f>131*0.007/147</f>
        <v>6.2380952380952388E-3</v>
      </c>
      <c r="P104" s="59" t="str">
        <f t="shared" si="19"/>
        <v>N/A</v>
      </c>
      <c r="Q104" s="73">
        <f>IF(M104&gt;0,K104/M104-1,"N/A")</f>
        <v>0.12213740458015265</v>
      </c>
      <c r="R104" s="133"/>
      <c r="S104" s="133" t="s">
        <v>518</v>
      </c>
      <c r="T104" s="184" t="s">
        <v>409</v>
      </c>
      <c r="U104" s="310"/>
      <c r="V104" s="312" t="s">
        <v>464</v>
      </c>
      <c r="W104" s="74"/>
      <c r="X104" s="183"/>
      <c r="Y104" s="74"/>
      <c r="Z104" s="185" t="s">
        <v>430</v>
      </c>
      <c r="AH104" s="71"/>
    </row>
    <row r="105" spans="1:34" ht="39" outlineLevel="2" thickBot="1">
      <c r="B105" s="66"/>
      <c r="C105" s="66" t="s">
        <v>30</v>
      </c>
      <c r="D105" s="66"/>
      <c r="E105" s="66"/>
      <c r="F105" s="329"/>
      <c r="G105" s="67"/>
      <c r="H105" s="66"/>
      <c r="I105" s="329"/>
      <c r="J105" s="66"/>
      <c r="K105" s="52">
        <f>100*0.025/100</f>
        <v>2.5000000000000001E-2</v>
      </c>
      <c r="L105" s="355"/>
      <c r="M105" s="53">
        <f>84*0.025/100</f>
        <v>2.1000000000000001E-2</v>
      </c>
      <c r="P105" s="59" t="str">
        <f t="shared" si="19"/>
        <v>N/A</v>
      </c>
      <c r="Q105" s="59">
        <f>IF(M105&gt;0,K105/M105-1,"N/A")</f>
        <v>0.19047619047619047</v>
      </c>
      <c r="R105" s="141"/>
      <c r="S105" s="141" t="s">
        <v>519</v>
      </c>
      <c r="T105" s="313" t="s">
        <v>409</v>
      </c>
      <c r="U105" s="235"/>
      <c r="V105" s="314" t="s">
        <v>464</v>
      </c>
      <c r="W105" s="237"/>
      <c r="X105" s="130"/>
      <c r="Y105" s="237"/>
      <c r="Z105" s="191" t="s">
        <v>430</v>
      </c>
      <c r="AH105" s="71"/>
    </row>
    <row r="106" spans="1:34" s="107" customFormat="1" ht="13.5" outlineLevel="2" thickBot="1">
      <c r="A106" s="105"/>
      <c r="B106" s="66"/>
      <c r="C106" s="66"/>
      <c r="D106" s="66"/>
      <c r="E106" s="66"/>
      <c r="F106" s="329"/>
      <c r="G106" s="67"/>
      <c r="H106" s="66"/>
      <c r="I106" s="329"/>
      <c r="J106" s="66"/>
      <c r="K106" s="66"/>
      <c r="L106" s="329"/>
      <c r="M106" s="66"/>
      <c r="N106" s="66"/>
      <c r="O106" s="66"/>
      <c r="P106" s="33"/>
      <c r="Q106" s="33"/>
      <c r="R106" s="106"/>
      <c r="S106" s="106"/>
      <c r="T106" s="106"/>
      <c r="U106" s="34"/>
      <c r="V106" s="34"/>
      <c r="X106" s="105"/>
      <c r="Z106" s="318"/>
      <c r="AH106" s="108"/>
    </row>
    <row r="107" spans="1:34" ht="26.25" outlineLevel="1" thickBot="1">
      <c r="B107" s="47" t="s">
        <v>406</v>
      </c>
      <c r="C107" s="54"/>
      <c r="D107" s="54"/>
      <c r="E107" s="54"/>
      <c r="F107" s="327"/>
      <c r="G107" s="96"/>
      <c r="H107" s="52">
        <f>SQRT(SUMSQ(K108,K109,K110))</f>
        <v>2.6134268690743961E-2</v>
      </c>
      <c r="I107" s="355">
        <f>J107</f>
        <v>2.0834324134262654E-2</v>
      </c>
      <c r="J107" s="53">
        <f>SQRT(SUMSQ(M108,M109,M110))</f>
        <v>2.0834324134262654E-2</v>
      </c>
      <c r="K107" s="32"/>
      <c r="L107" s="32"/>
      <c r="M107" s="32"/>
      <c r="P107" s="59">
        <f>IF(I107&gt;0,H107/I107-1,"N/A")</f>
        <v>0.25438524054473133</v>
      </c>
      <c r="Q107" s="59">
        <f>IF(J107&gt;0,H107/J107-1,"N/A")</f>
        <v>0.25438524054473133</v>
      </c>
      <c r="R107" s="169" t="s">
        <v>531</v>
      </c>
      <c r="S107" s="303"/>
      <c r="T107" s="315" t="s">
        <v>431</v>
      </c>
      <c r="U107" s="316"/>
      <c r="V107" s="316"/>
      <c r="W107" s="304" t="s">
        <v>459</v>
      </c>
      <c r="X107" s="130"/>
      <c r="Y107" s="237"/>
      <c r="Z107" s="191"/>
      <c r="AH107" s="71"/>
    </row>
    <row r="108" spans="1:34" ht="39" outlineLevel="2" thickBot="1">
      <c r="B108" s="66"/>
      <c r="C108" s="66" t="s">
        <v>485</v>
      </c>
      <c r="D108" s="66"/>
      <c r="E108" s="66"/>
      <c r="F108" s="329"/>
      <c r="G108" s="67"/>
      <c r="H108" s="66"/>
      <c r="I108" s="329"/>
      <c r="J108" s="66"/>
      <c r="K108" s="52">
        <f>150*0.003/150</f>
        <v>3.0000000000000001E-3</v>
      </c>
      <c r="L108" s="355"/>
      <c r="M108" s="53">
        <f>101*0.003/150</f>
        <v>2.0200000000000001E-3</v>
      </c>
      <c r="P108" s="59" t="str">
        <f t="shared" ref="P108:P110" si="20">IF(L108&gt;0,K108/L108-1,"N/A")</f>
        <v>N/A</v>
      </c>
      <c r="Q108" s="59">
        <f>IF(M108&gt;0,K108/M108-1,"N/A")</f>
        <v>0.48514851485148514</v>
      </c>
      <c r="R108" s="60"/>
      <c r="S108" s="60" t="s">
        <v>507</v>
      </c>
      <c r="T108" s="184" t="s">
        <v>409</v>
      </c>
      <c r="U108" s="110"/>
      <c r="V108" s="311" t="s">
        <v>464</v>
      </c>
      <c r="W108" s="305"/>
      <c r="X108" s="130"/>
      <c r="Y108" s="237"/>
      <c r="Z108" s="292" t="s">
        <v>432</v>
      </c>
      <c r="AH108" s="71"/>
    </row>
    <row r="109" spans="1:34" ht="39" outlineLevel="2" thickBot="1">
      <c r="B109" s="66"/>
      <c r="C109" s="66" t="s">
        <v>486</v>
      </c>
      <c r="D109" s="66"/>
      <c r="E109" s="66"/>
      <c r="F109" s="329"/>
      <c r="G109" s="67"/>
      <c r="H109" s="66"/>
      <c r="I109" s="329"/>
      <c r="J109" s="66"/>
      <c r="K109" s="52">
        <f>145*0.007/145</f>
        <v>7.000000000000001E-3</v>
      </c>
      <c r="L109" s="355"/>
      <c r="M109" s="53">
        <f>115*0.007/147</f>
        <v>5.4761904761904765E-3</v>
      </c>
      <c r="P109" s="59" t="str">
        <f t="shared" si="20"/>
        <v>N/A</v>
      </c>
      <c r="Q109" s="73">
        <f>IF(M109&gt;0,K109/M109-1,"N/A")</f>
        <v>0.27826086956521756</v>
      </c>
      <c r="R109" s="133"/>
      <c r="S109" s="133" t="s">
        <v>520</v>
      </c>
      <c r="T109" s="185" t="s">
        <v>409</v>
      </c>
      <c r="U109" s="310"/>
      <c r="V109" s="312" t="s">
        <v>464</v>
      </c>
      <c r="W109" s="306"/>
      <c r="X109" s="307"/>
      <c r="Y109" s="308"/>
      <c r="Z109" s="319" t="s">
        <v>432</v>
      </c>
      <c r="AH109" s="71"/>
    </row>
    <row r="110" spans="1:34" ht="39" outlineLevel="2" thickBot="1">
      <c r="B110" s="66"/>
      <c r="C110" s="66" t="s">
        <v>487</v>
      </c>
      <c r="D110" s="66"/>
      <c r="E110" s="66"/>
      <c r="F110" s="329"/>
      <c r="G110" s="67"/>
      <c r="H110" s="66"/>
      <c r="I110" s="329"/>
      <c r="J110" s="66"/>
      <c r="K110" s="52">
        <f>100*0.025/100</f>
        <v>2.5000000000000001E-2</v>
      </c>
      <c r="L110" s="355"/>
      <c r="M110" s="53">
        <f>80*0.025/100</f>
        <v>0.02</v>
      </c>
      <c r="P110" s="59" t="str">
        <f t="shared" si="20"/>
        <v>N/A</v>
      </c>
      <c r="Q110" s="59">
        <f>IF(M110&gt;0,K110/M110-1,"N/A")</f>
        <v>0.25</v>
      </c>
      <c r="R110" s="141"/>
      <c r="S110" s="141" t="s">
        <v>521</v>
      </c>
      <c r="T110" s="191" t="s">
        <v>409</v>
      </c>
      <c r="U110" s="235"/>
      <c r="V110" s="314" t="s">
        <v>464</v>
      </c>
      <c r="W110" s="237"/>
      <c r="X110" s="130"/>
      <c r="Y110" s="237"/>
      <c r="Z110" s="292" t="s">
        <v>432</v>
      </c>
      <c r="AH110" s="71"/>
    </row>
    <row r="111" spans="1:34" s="107" customFormat="1" ht="13.5" outlineLevel="2" thickBot="1">
      <c r="A111" s="105"/>
      <c r="B111" s="66"/>
      <c r="C111" s="66"/>
      <c r="D111" s="66"/>
      <c r="E111" s="66"/>
      <c r="F111" s="329"/>
      <c r="G111" s="67"/>
      <c r="H111" s="66"/>
      <c r="I111" s="329"/>
      <c r="J111" s="66"/>
      <c r="K111" s="66"/>
      <c r="L111" s="329"/>
      <c r="M111" s="66"/>
      <c r="N111" s="66"/>
      <c r="O111" s="66"/>
      <c r="P111" s="33"/>
      <c r="Q111" s="33"/>
      <c r="R111" s="106"/>
      <c r="S111" s="106"/>
      <c r="T111" s="106"/>
      <c r="U111" s="34"/>
      <c r="V111" s="34"/>
      <c r="X111" s="105"/>
      <c r="Z111" s="318"/>
      <c r="AH111" s="108"/>
    </row>
    <row r="112" spans="1:34" ht="13.5" outlineLevel="1" thickBot="1">
      <c r="B112" s="47" t="s">
        <v>125</v>
      </c>
      <c r="C112" s="159"/>
      <c r="D112" s="159"/>
      <c r="E112" s="66"/>
      <c r="F112" s="329"/>
      <c r="G112" s="160"/>
      <c r="H112" s="52">
        <f>SQRT(SUMSQ(K113,K114,K115,K116))</f>
        <v>4.4150990928856847E-2</v>
      </c>
      <c r="I112" s="355">
        <f>J112</f>
        <v>3.0309741008461288E-2</v>
      </c>
      <c r="J112" s="53">
        <f>SQRT(SUMSQ(M113,M114,M115,M116))</f>
        <v>3.0309741008461288E-2</v>
      </c>
      <c r="K112" s="161"/>
      <c r="L112" s="161"/>
      <c r="M112" s="161"/>
      <c r="N112" s="161"/>
      <c r="O112" s="161"/>
      <c r="P112" s="59">
        <f>IF(I112&gt;0,H112/I112-1,"N/A")</f>
        <v>0.45666011849232313</v>
      </c>
      <c r="Q112" s="59">
        <f>IF(J112&gt;0,H112/J112-1,"N/A")</f>
        <v>0.45666011849232313</v>
      </c>
      <c r="R112" s="169" t="s">
        <v>531</v>
      </c>
      <c r="S112" s="317" t="s">
        <v>435</v>
      </c>
      <c r="T112" s="239"/>
      <c r="U112" s="235"/>
      <c r="V112" s="235"/>
      <c r="W112" s="237" t="s">
        <v>459</v>
      </c>
      <c r="X112" s="130"/>
      <c r="Y112" s="237"/>
      <c r="Z112" s="191"/>
      <c r="AH112" s="71"/>
    </row>
    <row r="113" spans="1:34" ht="26.25" outlineLevel="2" thickBot="1">
      <c r="B113" s="54"/>
      <c r="C113" s="54" t="s">
        <v>490</v>
      </c>
      <c r="D113" s="66"/>
      <c r="E113" s="66"/>
      <c r="F113" s="329"/>
      <c r="G113" s="66"/>
      <c r="H113" s="66"/>
      <c r="I113" s="329"/>
      <c r="J113" s="66"/>
      <c r="K113" s="52">
        <f>12*0.0033</f>
        <v>3.9599999999999996E-2</v>
      </c>
      <c r="L113" s="355"/>
      <c r="M113" s="53">
        <f>8*0.0033</f>
        <v>2.64E-2</v>
      </c>
      <c r="N113" s="38"/>
      <c r="O113" s="38"/>
      <c r="P113" s="59" t="str">
        <f t="shared" ref="P113:P116" si="21">IF(L113&gt;0,K113/L113-1,"N/A")</f>
        <v>N/A</v>
      </c>
      <c r="Q113" s="59">
        <f t="shared" ref="Q113:Q116" si="22">IF(M113&gt;0,K113/M113-1,"N/A")</f>
        <v>0.49999999999999978</v>
      </c>
      <c r="R113" s="141"/>
      <c r="S113" s="141" t="s">
        <v>494</v>
      </c>
      <c r="T113" s="141" t="s">
        <v>433</v>
      </c>
      <c r="U113" s="235"/>
      <c r="V113" s="235" t="s">
        <v>28</v>
      </c>
      <c r="W113" s="237"/>
      <c r="X113" s="238"/>
      <c r="Y113" s="237"/>
      <c r="Z113" s="191" t="s">
        <v>497</v>
      </c>
      <c r="AH113" s="71"/>
    </row>
    <row r="114" spans="1:34" ht="26.25" outlineLevel="2" thickBot="1">
      <c r="B114" s="54"/>
      <c r="C114" s="54" t="s">
        <v>491</v>
      </c>
      <c r="D114" s="66"/>
      <c r="E114" s="66"/>
      <c r="F114" s="329"/>
      <c r="G114" s="66"/>
      <c r="H114" s="66"/>
      <c r="I114" s="329"/>
      <c r="J114" s="66"/>
      <c r="K114" s="52">
        <f>1*0.0033</f>
        <v>3.3E-3</v>
      </c>
      <c r="L114" s="355"/>
      <c r="M114" s="53">
        <f>0.6*0.0033</f>
        <v>1.98E-3</v>
      </c>
      <c r="N114" s="66"/>
      <c r="O114" s="66"/>
      <c r="P114" s="59" t="str">
        <f t="shared" si="21"/>
        <v>N/A</v>
      </c>
      <c r="Q114" s="59">
        <f>IF(M114&gt;0,K114/M114-1,"N/A")</f>
        <v>0.66666666666666674</v>
      </c>
      <c r="R114" s="141"/>
      <c r="S114" s="141" t="s">
        <v>495</v>
      </c>
      <c r="T114" s="152" t="s">
        <v>434</v>
      </c>
      <c r="U114" s="235"/>
      <c r="V114" s="235" t="s">
        <v>28</v>
      </c>
      <c r="W114" s="237"/>
      <c r="X114" s="238"/>
      <c r="Y114" s="237"/>
      <c r="Z114" s="191" t="s">
        <v>498</v>
      </c>
      <c r="AH114" s="71"/>
    </row>
    <row r="115" spans="1:34" ht="26.25" outlineLevel="2" thickBot="1">
      <c r="B115" s="54"/>
      <c r="C115" s="54" t="s">
        <v>492</v>
      </c>
      <c r="D115" s="66"/>
      <c r="E115" s="66"/>
      <c r="F115" s="329"/>
      <c r="G115" s="66"/>
      <c r="H115" s="66"/>
      <c r="I115" s="329"/>
      <c r="J115" s="66"/>
      <c r="K115" s="52">
        <f>5*0.0033</f>
        <v>1.6500000000000001E-2</v>
      </c>
      <c r="L115" s="355"/>
      <c r="M115" s="53">
        <f>4*0.0033</f>
        <v>1.32E-2</v>
      </c>
      <c r="N115" s="38"/>
      <c r="O115" s="38"/>
      <c r="P115" s="59" t="str">
        <f t="shared" si="21"/>
        <v>N/A</v>
      </c>
      <c r="Q115" s="59">
        <f t="shared" ref="Q115" si="23">IF(M115&gt;0,K115/M115-1,"N/A")</f>
        <v>0.25</v>
      </c>
      <c r="R115" s="141"/>
      <c r="S115" s="141" t="s">
        <v>496</v>
      </c>
      <c r="T115" s="152" t="s">
        <v>434</v>
      </c>
      <c r="U115" s="235"/>
      <c r="V115" s="235" t="s">
        <v>407</v>
      </c>
      <c r="W115" s="237"/>
      <c r="X115" s="238"/>
      <c r="Y115" s="237"/>
      <c r="Z115" s="191" t="s">
        <v>499</v>
      </c>
      <c r="AH115" s="71"/>
    </row>
    <row r="116" spans="1:34" ht="26.25" outlineLevel="2" thickBot="1">
      <c r="B116" s="54"/>
      <c r="C116" s="54" t="s">
        <v>493</v>
      </c>
      <c r="D116" s="66"/>
      <c r="E116" s="66"/>
      <c r="F116" s="329"/>
      <c r="G116" s="66"/>
      <c r="H116" s="66"/>
      <c r="I116" s="329"/>
      <c r="J116" s="66"/>
      <c r="K116" s="52">
        <f>3*0.0033</f>
        <v>9.8999999999999991E-3</v>
      </c>
      <c r="L116" s="355"/>
      <c r="M116" s="53">
        <f>2*0.0033</f>
        <v>6.6E-3</v>
      </c>
      <c r="N116" s="66"/>
      <c r="O116" s="66"/>
      <c r="P116" s="59" t="str">
        <f t="shared" si="21"/>
        <v>N/A</v>
      </c>
      <c r="Q116" s="59">
        <f t="shared" si="22"/>
        <v>0.49999999999999978</v>
      </c>
      <c r="R116" s="141"/>
      <c r="S116" s="141" t="s">
        <v>525</v>
      </c>
      <c r="T116" s="152" t="s">
        <v>434</v>
      </c>
      <c r="U116" s="235"/>
      <c r="V116" s="235" t="s">
        <v>407</v>
      </c>
      <c r="W116" s="238"/>
      <c r="X116" s="238"/>
      <c r="Y116" s="238"/>
      <c r="Z116" s="292" t="s">
        <v>500</v>
      </c>
      <c r="AH116" s="71"/>
    </row>
    <row r="117" spans="1:34" s="107" customFormat="1" ht="13.5" outlineLevel="2" thickBot="1">
      <c r="A117" s="105"/>
      <c r="B117" s="43"/>
      <c r="C117" s="43"/>
      <c r="D117" s="43"/>
      <c r="E117" s="66"/>
      <c r="F117" s="329"/>
      <c r="G117" s="66"/>
      <c r="H117" s="66"/>
      <c r="I117" s="329"/>
      <c r="J117" s="66"/>
      <c r="K117" s="66"/>
      <c r="L117" s="329"/>
      <c r="M117" s="66"/>
      <c r="N117" s="66"/>
      <c r="O117" s="66"/>
      <c r="P117" s="33"/>
      <c r="Q117" s="33"/>
      <c r="R117" s="106"/>
      <c r="S117" s="106"/>
      <c r="T117" s="106"/>
      <c r="U117" s="34"/>
      <c r="V117" s="34"/>
      <c r="X117" s="105"/>
      <c r="Z117" s="290"/>
      <c r="AH117" s="108"/>
    </row>
    <row r="118" spans="1:34" ht="13.5" thickBot="1">
      <c r="B118" s="56" t="s">
        <v>31</v>
      </c>
      <c r="C118" s="56"/>
      <c r="D118" s="56"/>
      <c r="E118" s="40">
        <f>SQRT(SUMSQ(H119,H124))</f>
        <v>6.2427077458423443E-2</v>
      </c>
      <c r="F118" s="354">
        <f>SQRT(SUMSQ(I119,I124))</f>
        <v>5.5628639438332489E-2</v>
      </c>
      <c r="G118" s="41">
        <f>SQRT(SUMSQ(J119,J124))</f>
        <v>5.5628639438332489E-2</v>
      </c>
      <c r="H118" s="57"/>
      <c r="I118" s="57"/>
      <c r="J118" s="57"/>
      <c r="K118" s="57"/>
      <c r="L118" s="57"/>
      <c r="M118" s="57"/>
      <c r="N118" s="57"/>
      <c r="O118" s="57"/>
      <c r="P118" s="262">
        <f>E118/F118-1</f>
        <v>0.122211114431936</v>
      </c>
      <c r="Q118" s="246">
        <f>E118/G118-1</f>
        <v>0.122211114431936</v>
      </c>
      <c r="R118" s="247"/>
      <c r="S118" s="247"/>
      <c r="T118" s="248"/>
      <c r="U118" s="249"/>
      <c r="V118" s="249" t="s">
        <v>449</v>
      </c>
      <c r="W118" s="254" t="s">
        <v>443</v>
      </c>
      <c r="X118" s="255" t="s">
        <v>465</v>
      </c>
      <c r="Y118" s="254"/>
      <c r="Z118" s="299" t="s">
        <v>32</v>
      </c>
      <c r="AH118" s="71"/>
    </row>
    <row r="119" spans="1:34" ht="39" outlineLevel="1" thickBot="1">
      <c r="B119" s="228" t="s">
        <v>192</v>
      </c>
      <c r="C119" s="34"/>
      <c r="D119" s="34"/>
      <c r="E119" s="54"/>
      <c r="F119" s="327"/>
      <c r="G119" s="58"/>
      <c r="H119" s="52">
        <v>1.7999999999999999E-2</v>
      </c>
      <c r="I119" s="355">
        <f>J119</f>
        <v>1.6E-2</v>
      </c>
      <c r="J119" s="53">
        <v>1.6E-2</v>
      </c>
      <c r="K119" s="66" t="s">
        <v>95</v>
      </c>
      <c r="L119" s="329"/>
      <c r="M119" s="54"/>
      <c r="N119" s="54"/>
      <c r="O119" s="54"/>
      <c r="P119" s="84">
        <f>IF(I119&gt;0,H119/I119-1,"N/A")</f>
        <v>0.125</v>
      </c>
      <c r="Q119" s="84">
        <f>IF(J119&gt;0,H119/J119-1,"N/A")</f>
        <v>0.125</v>
      </c>
      <c r="R119" s="169" t="s">
        <v>531</v>
      </c>
      <c r="S119" s="97" t="s">
        <v>442</v>
      </c>
      <c r="T119" s="122" t="s">
        <v>222</v>
      </c>
      <c r="U119" s="86"/>
      <c r="V119" s="86"/>
      <c r="W119" s="85"/>
      <c r="X119" s="309"/>
      <c r="Y119" s="156" t="s">
        <v>35</v>
      </c>
      <c r="Z119" s="286" t="s">
        <v>228</v>
      </c>
      <c r="AH119" s="71"/>
    </row>
    <row r="120" spans="1:34" ht="39" outlineLevel="2" thickBot="1">
      <c r="B120" s="43"/>
      <c r="C120" s="54" t="s">
        <v>223</v>
      </c>
      <c r="D120" s="54"/>
      <c r="E120" s="54"/>
      <c r="F120" s="327"/>
      <c r="G120" s="58"/>
      <c r="H120" s="66"/>
      <c r="I120" s="329"/>
      <c r="J120" s="112"/>
      <c r="K120" s="113" t="s">
        <v>96</v>
      </c>
      <c r="L120" s="355"/>
      <c r="M120" s="53">
        <v>1.6E-2</v>
      </c>
      <c r="N120" s="329"/>
      <c r="O120" s="66"/>
      <c r="P120" s="59" t="str">
        <f t="shared" ref="P120:P122" si="24">IF(L120&gt;0,K120/L120-1,"N/A")</f>
        <v>N/A</v>
      </c>
      <c r="Q120" s="114" t="s">
        <v>96</v>
      </c>
      <c r="R120" s="115"/>
      <c r="S120" s="115" t="s">
        <v>329</v>
      </c>
      <c r="T120" s="123" t="s">
        <v>222</v>
      </c>
      <c r="U120" s="63"/>
      <c r="V120" s="63" t="s">
        <v>466</v>
      </c>
      <c r="W120" s="70" t="s">
        <v>462</v>
      </c>
      <c r="X120" s="298" t="s">
        <v>467</v>
      </c>
      <c r="Y120" s="74" t="s">
        <v>35</v>
      </c>
      <c r="Z120" s="284"/>
      <c r="AH120" s="71"/>
    </row>
    <row r="121" spans="1:34" ht="39" outlineLevel="2" thickBot="1">
      <c r="B121" s="43"/>
      <c r="C121" s="54" t="s">
        <v>224</v>
      </c>
      <c r="D121" s="54"/>
      <c r="E121" s="54"/>
      <c r="F121" s="327"/>
      <c r="G121" s="58"/>
      <c r="H121" s="66"/>
      <c r="I121" s="329"/>
      <c r="J121" s="112"/>
      <c r="K121" s="113" t="s">
        <v>96</v>
      </c>
      <c r="L121" s="355"/>
      <c r="M121" s="53">
        <v>5.0000000000000001E-3</v>
      </c>
      <c r="N121" s="329"/>
      <c r="O121" s="66"/>
      <c r="P121" s="59" t="str">
        <f t="shared" si="24"/>
        <v>N/A</v>
      </c>
      <c r="Q121" s="114" t="s">
        <v>96</v>
      </c>
      <c r="R121" s="115"/>
      <c r="S121" s="115" t="s">
        <v>329</v>
      </c>
      <c r="T121" s="126" t="s">
        <v>222</v>
      </c>
      <c r="U121" s="75"/>
      <c r="V121" s="75" t="s">
        <v>227</v>
      </c>
      <c r="W121" s="74"/>
      <c r="X121" s="139"/>
      <c r="Y121" s="74" t="s">
        <v>35</v>
      </c>
      <c r="Z121" s="284"/>
      <c r="AH121" s="71"/>
    </row>
    <row r="122" spans="1:34" ht="39" outlineLevel="2" thickBot="1">
      <c r="B122" s="43"/>
      <c r="C122" s="54" t="s">
        <v>225</v>
      </c>
      <c r="D122" s="54"/>
      <c r="E122" s="54"/>
      <c r="F122" s="327"/>
      <c r="G122" s="58"/>
      <c r="H122" s="66"/>
      <c r="I122" s="329"/>
      <c r="J122" s="112"/>
      <c r="K122" s="113" t="s">
        <v>96</v>
      </c>
      <c r="L122" s="355"/>
      <c r="M122" s="53">
        <v>1E-3</v>
      </c>
      <c r="N122" s="329"/>
      <c r="O122" s="66"/>
      <c r="P122" s="59" t="str">
        <f t="shared" si="24"/>
        <v>N/A</v>
      </c>
      <c r="Q122" s="114" t="s">
        <v>96</v>
      </c>
      <c r="R122" s="178"/>
      <c r="S122" s="178" t="s">
        <v>329</v>
      </c>
      <c r="T122" s="141" t="s">
        <v>222</v>
      </c>
      <c r="U122" s="236"/>
      <c r="V122" s="236" t="s">
        <v>227</v>
      </c>
      <c r="W122" s="237"/>
      <c r="X122" s="238"/>
      <c r="Y122" s="237" t="s">
        <v>35</v>
      </c>
      <c r="Z122" s="291"/>
      <c r="AH122" s="71"/>
    </row>
    <row r="123" spans="1:34" ht="13.5" outlineLevel="2" thickBot="1">
      <c r="B123" s="43"/>
      <c r="C123" s="43"/>
      <c r="D123" s="43"/>
      <c r="E123" s="66"/>
      <c r="F123" s="329"/>
      <c r="G123" s="67"/>
      <c r="H123" s="66"/>
      <c r="I123" s="329"/>
      <c r="J123" s="66"/>
      <c r="K123" s="66"/>
      <c r="L123" s="329"/>
      <c r="M123" s="66"/>
      <c r="N123" s="66"/>
      <c r="O123" s="66"/>
      <c r="P123" s="109"/>
      <c r="Q123" s="109"/>
      <c r="R123" s="116"/>
      <c r="S123" s="116"/>
      <c r="T123" s="116"/>
      <c r="U123" s="117"/>
      <c r="V123" s="117"/>
      <c r="W123" s="118"/>
      <c r="X123" s="119"/>
      <c r="Y123" s="118"/>
      <c r="Z123" s="293"/>
      <c r="AH123" s="71"/>
    </row>
    <row r="124" spans="1:34" ht="13.5" outlineLevel="1" thickBot="1">
      <c r="B124" s="228" t="s">
        <v>191</v>
      </c>
      <c r="C124" s="43"/>
      <c r="D124" s="43"/>
      <c r="E124" s="66"/>
      <c r="F124" s="329"/>
      <c r="G124" s="67"/>
      <c r="H124" s="52">
        <f>SQRT(SUMSQ(K125,K132,K139,K146,K153))</f>
        <v>5.9775747590473514E-2</v>
      </c>
      <c r="I124" s="355">
        <f>J124</f>
        <v>5.3278002268853888E-2</v>
      </c>
      <c r="J124" s="120">
        <f>SQRT(SUMSQ(M125,M132,M139,M146,M153))</f>
        <v>5.3278002268853888E-2</v>
      </c>
      <c r="K124" s="66"/>
      <c r="L124" s="329"/>
      <c r="M124" s="66"/>
      <c r="N124" s="66"/>
      <c r="O124" s="66"/>
      <c r="P124" s="84">
        <f>IF(I124&gt;0,H124/I124-1,"N/A")</f>
        <v>0.12195925231637639</v>
      </c>
      <c r="Q124" s="84">
        <f>IF(J124&gt;0,H124/J124-1,"N/A")</f>
        <v>0.12195925231637639</v>
      </c>
      <c r="R124" s="169" t="s">
        <v>531</v>
      </c>
      <c r="S124" s="121"/>
      <c r="T124" s="122"/>
      <c r="U124" s="86"/>
      <c r="V124" s="86"/>
      <c r="W124" s="85"/>
      <c r="X124" s="182"/>
      <c r="Y124" s="85"/>
      <c r="Z124" s="286"/>
      <c r="AH124" s="71"/>
    </row>
    <row r="125" spans="1:34" ht="13.5" outlineLevel="2" thickBot="1">
      <c r="B125" s="43"/>
      <c r="C125" s="54" t="s">
        <v>33</v>
      </c>
      <c r="D125" s="54"/>
      <c r="E125" s="54"/>
      <c r="F125" s="327"/>
      <c r="G125" s="54"/>
      <c r="H125" s="66"/>
      <c r="I125" s="329"/>
      <c r="J125" s="112"/>
      <c r="K125" s="113">
        <f>SQRT(SUMSQ(N126,N127,N128,N129,N130))</f>
        <v>3.6414282912066248E-2</v>
      </c>
      <c r="L125" s="355"/>
      <c r="M125" s="53">
        <f>SQRT(SUMSQ(O126,O127,O128,O129,O130))</f>
        <v>3.3052080116083467E-2</v>
      </c>
      <c r="N125" s="66"/>
      <c r="O125" s="66"/>
      <c r="P125" s="59" t="str">
        <f t="shared" ref="P125" si="25">IF(L125&gt;0,K125/L125-1,"N/A")</f>
        <v>N/A</v>
      </c>
      <c r="Q125" s="59">
        <f>IF(M125&gt;0,K125/M125-1,"N/A")</f>
        <v>0.10172439326584781</v>
      </c>
      <c r="R125" s="115"/>
      <c r="S125" s="115"/>
      <c r="T125" s="123"/>
      <c r="U125" s="63"/>
      <c r="V125" s="63"/>
      <c r="W125" s="70"/>
      <c r="X125" s="181"/>
      <c r="Y125" s="70"/>
      <c r="Z125" s="284"/>
      <c r="AH125" s="71"/>
    </row>
    <row r="126" spans="1:34" s="65" customFormat="1" ht="13.5" outlineLevel="3" thickBot="1">
      <c r="B126" s="54"/>
      <c r="D126" s="43" t="s">
        <v>34</v>
      </c>
      <c r="E126" s="66"/>
      <c r="F126" s="329"/>
      <c r="G126" s="66"/>
      <c r="H126" s="66"/>
      <c r="I126" s="329"/>
      <c r="J126" s="67"/>
      <c r="L126" s="328"/>
      <c r="N126" s="52">
        <v>4.0000000000000001E-3</v>
      </c>
      <c r="O126" s="124">
        <v>3.0000000000000001E-3</v>
      </c>
      <c r="P126" s="125"/>
      <c r="Q126" s="125">
        <f>IF(O126&gt;0,N126/O126-1,"N/A")</f>
        <v>0.33333333333333326</v>
      </c>
      <c r="R126" s="140"/>
      <c r="S126" s="322" t="s">
        <v>266</v>
      </c>
      <c r="T126" s="126" t="s">
        <v>179</v>
      </c>
      <c r="U126" s="75"/>
      <c r="V126" s="75" t="s">
        <v>411</v>
      </c>
      <c r="W126" s="74" t="s">
        <v>445</v>
      </c>
      <c r="X126" s="139" t="s">
        <v>468</v>
      </c>
      <c r="Y126" s="74" t="s">
        <v>35</v>
      </c>
      <c r="Z126" s="190" t="s">
        <v>36</v>
      </c>
    </row>
    <row r="127" spans="1:34" s="65" customFormat="1" ht="26.25" outlineLevel="3" thickBot="1">
      <c r="B127" s="54"/>
      <c r="D127" s="66" t="s">
        <v>193</v>
      </c>
      <c r="E127" s="66"/>
      <c r="F127" s="329"/>
      <c r="G127" s="66"/>
      <c r="H127" s="66"/>
      <c r="I127" s="329"/>
      <c r="J127" s="67"/>
      <c r="L127" s="328"/>
      <c r="N127" s="52">
        <v>7.0000000000000001E-3</v>
      </c>
      <c r="O127" s="124">
        <v>6.0000000000000001E-3</v>
      </c>
      <c r="P127" s="125"/>
      <c r="Q127" s="125">
        <f>IF(O127&gt;0,N127/O127-1,"N/A")</f>
        <v>0.16666666666666674</v>
      </c>
      <c r="R127" s="140"/>
      <c r="S127" s="322" t="s">
        <v>311</v>
      </c>
      <c r="T127" s="126"/>
      <c r="U127" s="75"/>
      <c r="V127" s="75" t="s">
        <v>411</v>
      </c>
      <c r="W127" s="74" t="s">
        <v>445</v>
      </c>
      <c r="X127" s="183" t="s">
        <v>468</v>
      </c>
      <c r="Y127" s="74" t="s">
        <v>35</v>
      </c>
      <c r="Z127" s="190" t="s">
        <v>37</v>
      </c>
    </row>
    <row r="128" spans="1:34" s="65" customFormat="1" ht="26.25" outlineLevel="3" thickBot="1">
      <c r="B128" s="54"/>
      <c r="D128" s="66" t="s">
        <v>229</v>
      </c>
      <c r="E128" s="66"/>
      <c r="F128" s="329"/>
      <c r="G128" s="66"/>
      <c r="H128" s="66"/>
      <c r="I128" s="329"/>
      <c r="J128" s="67"/>
      <c r="L128" s="328"/>
      <c r="N128" s="52">
        <v>2.5999999999999999E-2</v>
      </c>
      <c r="O128" s="124">
        <v>2.3800000000000002E-2</v>
      </c>
      <c r="P128" s="125"/>
      <c r="Q128" s="125">
        <f>IF(O128&gt;0,N128/O128-1,"N/A")</f>
        <v>9.243697478991586E-2</v>
      </c>
      <c r="R128" s="140"/>
      <c r="S128" s="322" t="s">
        <v>441</v>
      </c>
      <c r="T128" s="126" t="s">
        <v>168</v>
      </c>
      <c r="U128" s="75"/>
      <c r="V128" s="75" t="s">
        <v>23</v>
      </c>
      <c r="W128" s="74"/>
      <c r="X128" s="139"/>
      <c r="Y128" s="74" t="s">
        <v>35</v>
      </c>
      <c r="Z128" s="190" t="s">
        <v>38</v>
      </c>
    </row>
    <row r="129" spans="1:34" s="65" customFormat="1" ht="26.25" outlineLevel="3" thickBot="1">
      <c r="B129" s="54"/>
      <c r="D129" s="66" t="s">
        <v>230</v>
      </c>
      <c r="E129" s="66"/>
      <c r="F129" s="329"/>
      <c r="G129" s="66"/>
      <c r="H129" s="66"/>
      <c r="I129" s="329"/>
      <c r="J129" s="67"/>
      <c r="L129" s="328"/>
      <c r="N129" s="52">
        <v>2.4E-2</v>
      </c>
      <c r="O129" s="124">
        <v>2.18E-2</v>
      </c>
      <c r="P129" s="125"/>
      <c r="Q129" s="125">
        <f>IF(O129&gt;0,N129/O129-1,"N/A")</f>
        <v>0.10091743119266061</v>
      </c>
      <c r="R129" s="140"/>
      <c r="S129" s="322" t="s">
        <v>441</v>
      </c>
      <c r="T129" s="126" t="s">
        <v>168</v>
      </c>
      <c r="U129" s="75"/>
      <c r="V129" s="75" t="s">
        <v>23</v>
      </c>
      <c r="W129" s="74"/>
      <c r="X129" s="139"/>
      <c r="Y129" s="74" t="s">
        <v>35</v>
      </c>
      <c r="Z129" s="190" t="s">
        <v>38</v>
      </c>
    </row>
    <row r="130" spans="1:34" s="65" customFormat="1" ht="26.25" outlineLevel="3" thickBot="1">
      <c r="B130" s="54"/>
      <c r="D130" s="66" t="s">
        <v>231</v>
      </c>
      <c r="E130" s="66"/>
      <c r="F130" s="329"/>
      <c r="G130" s="66"/>
      <c r="H130" s="66"/>
      <c r="I130" s="329"/>
      <c r="J130" s="67"/>
      <c r="L130" s="328"/>
      <c r="N130" s="52">
        <v>3.0000000000000001E-3</v>
      </c>
      <c r="O130" s="124">
        <v>2.3999999999999998E-3</v>
      </c>
      <c r="P130" s="125"/>
      <c r="Q130" s="125">
        <f>IF(O130&gt;0,N130/O130-1,"N/A")</f>
        <v>0.25000000000000022</v>
      </c>
      <c r="R130" s="140"/>
      <c r="S130" s="322" t="s">
        <v>441</v>
      </c>
      <c r="T130" s="126" t="s">
        <v>168</v>
      </c>
      <c r="U130" s="75"/>
      <c r="V130" s="75" t="s">
        <v>23</v>
      </c>
      <c r="W130" s="74"/>
      <c r="X130" s="139"/>
      <c r="Y130" s="74" t="s">
        <v>35</v>
      </c>
      <c r="Z130" s="190" t="s">
        <v>38</v>
      </c>
    </row>
    <row r="131" spans="1:34" ht="13.5" outlineLevel="3" thickBot="1">
      <c r="B131" s="43"/>
      <c r="C131" s="43"/>
      <c r="D131" s="66"/>
      <c r="E131" s="66"/>
      <c r="F131" s="329"/>
      <c r="G131" s="66"/>
      <c r="H131" s="66"/>
      <c r="I131" s="329"/>
      <c r="J131" s="67"/>
      <c r="K131" s="66"/>
      <c r="L131" s="329"/>
      <c r="M131" s="66"/>
      <c r="N131" s="66"/>
      <c r="O131" s="66"/>
      <c r="P131" s="335"/>
      <c r="Q131" s="78"/>
      <c r="R131" s="88"/>
      <c r="S131" s="88"/>
      <c r="T131" s="88"/>
      <c r="U131" s="81"/>
      <c r="V131" s="81"/>
      <c r="W131" s="80"/>
      <c r="X131" s="87"/>
      <c r="Y131" s="80"/>
      <c r="Z131" s="285"/>
      <c r="AH131" s="71"/>
    </row>
    <row r="132" spans="1:34" ht="13.5" outlineLevel="2" thickBot="1">
      <c r="B132" s="43"/>
      <c r="C132" s="54" t="s">
        <v>39</v>
      </c>
      <c r="D132" s="54"/>
      <c r="E132" s="54"/>
      <c r="F132" s="327"/>
      <c r="G132" s="54"/>
      <c r="H132" s="66"/>
      <c r="I132" s="329"/>
      <c r="J132" s="112"/>
      <c r="K132" s="113">
        <f>SQRT(SUMSQ(N133,N134,N135,N136,N137))</f>
        <v>4.2965102117881675E-2</v>
      </c>
      <c r="L132" s="355"/>
      <c r="M132" s="53">
        <f>SQRT(SUMSQ(O133,O134,O135,O136,O137))</f>
        <v>3.8207852596030573E-2</v>
      </c>
      <c r="N132" s="66"/>
      <c r="O132" s="66"/>
      <c r="P132" s="59" t="str">
        <f t="shared" ref="P132" si="26">IF(L132&gt;0,K132/L132-1,"N/A")</f>
        <v>N/A</v>
      </c>
      <c r="Q132" s="59">
        <f>IF(M132&gt;0,K132/M132-1,"N/A")</f>
        <v>0.1245097329114313</v>
      </c>
      <c r="R132" s="115"/>
      <c r="S132" s="115"/>
      <c r="T132" s="123"/>
      <c r="U132" s="63"/>
      <c r="V132" s="63"/>
      <c r="W132" s="70"/>
      <c r="X132" s="181"/>
      <c r="Y132" s="70"/>
      <c r="Z132" s="284"/>
      <c r="AH132" s="71"/>
    </row>
    <row r="133" spans="1:34" s="65" customFormat="1" ht="13.5" outlineLevel="3" thickBot="1">
      <c r="B133" s="54"/>
      <c r="D133" s="66" t="s">
        <v>40</v>
      </c>
      <c r="E133" s="66"/>
      <c r="F133" s="329"/>
      <c r="G133" s="66"/>
      <c r="H133" s="66"/>
      <c r="I133" s="329"/>
      <c r="J133" s="67"/>
      <c r="L133" s="328"/>
      <c r="N133" s="52">
        <v>4.0000000000000001E-3</v>
      </c>
      <c r="O133" s="124">
        <v>3.0000000000000001E-3</v>
      </c>
      <c r="P133" s="125"/>
      <c r="Q133" s="125">
        <f>IF(O133&gt;0,N133/O133-1,"N/A")</f>
        <v>0.33333333333333326</v>
      </c>
      <c r="R133" s="140"/>
      <c r="S133" s="322" t="s">
        <v>267</v>
      </c>
      <c r="T133" s="126" t="s">
        <v>197</v>
      </c>
      <c r="U133" s="75"/>
      <c r="V133" s="75" t="s">
        <v>411</v>
      </c>
      <c r="W133" s="74" t="s">
        <v>445</v>
      </c>
      <c r="X133" s="183" t="s">
        <v>469</v>
      </c>
      <c r="Y133" s="74" t="s">
        <v>35</v>
      </c>
      <c r="Z133" s="190" t="s">
        <v>36</v>
      </c>
    </row>
    <row r="134" spans="1:34" s="65" customFormat="1" ht="26.25" outlineLevel="3" thickBot="1">
      <c r="B134" s="54"/>
      <c r="D134" s="66" t="s">
        <v>194</v>
      </c>
      <c r="E134" s="66"/>
      <c r="F134" s="329"/>
      <c r="G134" s="66"/>
      <c r="H134" s="66"/>
      <c r="I134" s="329"/>
      <c r="J134" s="67"/>
      <c r="L134" s="328"/>
      <c r="N134" s="52">
        <v>4.0000000000000001E-3</v>
      </c>
      <c r="O134" s="124">
        <v>3.0000000000000001E-3</v>
      </c>
      <c r="P134" s="125"/>
      <c r="Q134" s="125">
        <f>IF(O134&gt;0,N134/O134-1,"N/A")</f>
        <v>0.33333333333333326</v>
      </c>
      <c r="R134" s="140"/>
      <c r="S134" s="322" t="s">
        <v>268</v>
      </c>
      <c r="T134" s="126"/>
      <c r="U134" s="75"/>
      <c r="V134" s="75" t="s">
        <v>411</v>
      </c>
      <c r="W134" s="74" t="s">
        <v>445</v>
      </c>
      <c r="X134" s="183" t="s">
        <v>469</v>
      </c>
      <c r="Y134" s="74" t="s">
        <v>35</v>
      </c>
      <c r="Z134" s="190" t="s">
        <v>37</v>
      </c>
    </row>
    <row r="135" spans="1:34" s="65" customFormat="1" ht="13.5" outlineLevel="3" thickBot="1">
      <c r="B135" s="54"/>
      <c r="D135" s="66" t="s">
        <v>232</v>
      </c>
      <c r="E135" s="66"/>
      <c r="F135" s="329"/>
      <c r="G135" s="66"/>
      <c r="H135" s="66"/>
      <c r="I135" s="329"/>
      <c r="J135" s="67"/>
      <c r="L135" s="328"/>
      <c r="N135" s="52">
        <v>2.5000000000000001E-2</v>
      </c>
      <c r="O135" s="124">
        <v>2.2200000000000001E-2</v>
      </c>
      <c r="P135" s="125"/>
      <c r="Q135" s="125">
        <f>IF(O135&gt;0,N135/O135-1,"N/A")</f>
        <v>0.12612612612612617</v>
      </c>
      <c r="R135" s="140"/>
      <c r="S135" s="322" t="s">
        <v>440</v>
      </c>
      <c r="T135" s="126" t="s">
        <v>168</v>
      </c>
      <c r="U135" s="75"/>
      <c r="V135" s="75" t="s">
        <v>23</v>
      </c>
      <c r="W135" s="74"/>
      <c r="X135" s="139"/>
      <c r="Y135" s="74" t="s">
        <v>35</v>
      </c>
      <c r="Z135" s="190" t="s">
        <v>41</v>
      </c>
    </row>
    <row r="136" spans="1:34" s="65" customFormat="1" ht="13.5" outlineLevel="3" thickBot="1">
      <c r="B136" s="54"/>
      <c r="D136" s="66" t="s">
        <v>233</v>
      </c>
      <c r="E136" s="66"/>
      <c r="F136" s="329"/>
      <c r="G136" s="66"/>
      <c r="H136" s="66"/>
      <c r="I136" s="329"/>
      <c r="J136" s="67"/>
      <c r="L136" s="328"/>
      <c r="N136" s="52">
        <v>3.3000000000000002E-2</v>
      </c>
      <c r="O136" s="124">
        <v>2.9399999999999999E-2</v>
      </c>
      <c r="P136" s="125"/>
      <c r="Q136" s="125">
        <f>IF(O136&gt;0,N136/O136-1,"N/A")</f>
        <v>0.12244897959183687</v>
      </c>
      <c r="R136" s="140"/>
      <c r="S136" s="322" t="s">
        <v>440</v>
      </c>
      <c r="T136" s="126" t="s">
        <v>168</v>
      </c>
      <c r="U136" s="75"/>
      <c r="V136" s="75" t="s">
        <v>23</v>
      </c>
      <c r="W136" s="74"/>
      <c r="X136" s="139"/>
      <c r="Y136" s="74" t="s">
        <v>35</v>
      </c>
      <c r="Z136" s="190" t="s">
        <v>41</v>
      </c>
    </row>
    <row r="137" spans="1:34" s="65" customFormat="1" ht="13.5" outlineLevel="3" thickBot="1">
      <c r="B137" s="54"/>
      <c r="D137" s="66" t="s">
        <v>234</v>
      </c>
      <c r="E137" s="66"/>
      <c r="F137" s="329"/>
      <c r="G137" s="66"/>
      <c r="H137" s="66"/>
      <c r="I137" s="329"/>
      <c r="J137" s="67"/>
      <c r="L137" s="328"/>
      <c r="N137" s="52">
        <v>0.01</v>
      </c>
      <c r="O137" s="124">
        <v>9.1999999999999998E-3</v>
      </c>
      <c r="P137" s="125"/>
      <c r="Q137" s="125">
        <f>IF(O137&gt;0,N137/O137-1,"N/A")</f>
        <v>8.6956521739130377E-2</v>
      </c>
      <c r="R137" s="140"/>
      <c r="S137" s="322" t="s">
        <v>440</v>
      </c>
      <c r="T137" s="126" t="s">
        <v>168</v>
      </c>
      <c r="U137" s="75"/>
      <c r="V137" s="75" t="s">
        <v>23</v>
      </c>
      <c r="W137" s="74"/>
      <c r="X137" s="139"/>
      <c r="Y137" s="74" t="s">
        <v>35</v>
      </c>
      <c r="Z137" s="190" t="s">
        <v>41</v>
      </c>
    </row>
    <row r="138" spans="1:34" ht="13.5" outlineLevel="3" thickBot="1">
      <c r="B138" s="43"/>
      <c r="C138" s="43"/>
      <c r="D138" s="66"/>
      <c r="E138" s="66"/>
      <c r="F138" s="329"/>
      <c r="G138" s="66"/>
      <c r="H138" s="66"/>
      <c r="I138" s="329"/>
      <c r="J138" s="67"/>
      <c r="K138" s="66"/>
      <c r="L138" s="329"/>
      <c r="M138" s="66"/>
      <c r="N138" s="66"/>
      <c r="O138" s="66"/>
      <c r="P138" s="335"/>
      <c r="Q138" s="78"/>
      <c r="R138" s="88"/>
      <c r="S138" s="88"/>
      <c r="T138" s="88"/>
      <c r="U138" s="81"/>
      <c r="V138" s="81"/>
      <c r="W138" s="80"/>
      <c r="X138" s="87"/>
      <c r="Y138" s="80"/>
      <c r="Z138" s="285"/>
      <c r="AH138" s="71"/>
    </row>
    <row r="139" spans="1:34" ht="13.5" outlineLevel="2" thickBot="1">
      <c r="B139" s="43"/>
      <c r="C139" s="54" t="s">
        <v>565</v>
      </c>
      <c r="D139" s="54"/>
      <c r="E139" s="54"/>
      <c r="F139" s="327"/>
      <c r="G139" s="54"/>
      <c r="H139" s="66"/>
      <c r="I139" s="329"/>
      <c r="J139" s="112"/>
      <c r="K139" s="113">
        <f>SQRT(SUMSQ(N140,N141,N142,N143,N144))</f>
        <v>6.1032778078668514E-3</v>
      </c>
      <c r="L139" s="355"/>
      <c r="M139" s="53">
        <f>SQRT(SUMSQ(O140,O141,O142,O143,O144))</f>
        <v>4.4941740064220921E-3</v>
      </c>
      <c r="N139" s="66"/>
      <c r="O139" s="66"/>
      <c r="P139" s="59" t="str">
        <f t="shared" ref="P139" si="27">IF(L139&gt;0,K139/L139-1,"N/A")</f>
        <v>N/A</v>
      </c>
      <c r="Q139" s="59">
        <f>IF(M139&gt;0,K139/M139-1,"N/A")</f>
        <v>0.35804216729156013</v>
      </c>
      <c r="R139" s="115"/>
      <c r="S139" s="115"/>
      <c r="T139" s="123"/>
      <c r="U139" s="63"/>
      <c r="V139" s="63"/>
      <c r="W139" s="70"/>
      <c r="X139" s="181"/>
      <c r="Y139" s="70"/>
      <c r="Z139" s="284"/>
      <c r="AH139" s="71"/>
    </row>
    <row r="140" spans="1:34" s="65" customFormat="1" ht="13.5" outlineLevel="3" thickBot="1">
      <c r="B140" s="54"/>
      <c r="D140" s="66" t="s">
        <v>42</v>
      </c>
      <c r="E140" s="66"/>
      <c r="F140" s="329"/>
      <c r="G140" s="66"/>
      <c r="H140" s="66"/>
      <c r="I140" s="329"/>
      <c r="J140" s="67"/>
      <c r="L140" s="328"/>
      <c r="N140" s="52">
        <v>4.0000000000000001E-3</v>
      </c>
      <c r="O140" s="124">
        <v>3.0000000000000001E-3</v>
      </c>
      <c r="P140" s="125"/>
      <c r="Q140" s="125">
        <f>IF(O140&gt;0,N140/O140-1,"N/A")</f>
        <v>0.33333333333333326</v>
      </c>
      <c r="R140" s="140"/>
      <c r="S140" s="322" t="s">
        <v>269</v>
      </c>
      <c r="T140" s="126" t="s">
        <v>197</v>
      </c>
      <c r="U140" s="75"/>
      <c r="V140" s="75" t="s">
        <v>411</v>
      </c>
      <c r="W140" s="74" t="s">
        <v>445</v>
      </c>
      <c r="X140" s="183" t="s">
        <v>470</v>
      </c>
      <c r="Y140" s="74" t="s">
        <v>35</v>
      </c>
      <c r="Z140" s="190" t="s">
        <v>36</v>
      </c>
    </row>
    <row r="141" spans="1:34" s="65" customFormat="1" ht="51.75" outlineLevel="3" thickBot="1">
      <c r="B141" s="54"/>
      <c r="D141" s="66" t="s">
        <v>195</v>
      </c>
      <c r="E141" s="66"/>
      <c r="F141" s="329"/>
      <c r="G141" s="66"/>
      <c r="H141" s="66"/>
      <c r="I141" s="329"/>
      <c r="J141" s="67"/>
      <c r="L141" s="328"/>
      <c r="N141" s="52">
        <v>4.0000000000000001E-3</v>
      </c>
      <c r="O141" s="124">
        <v>3.0000000000000001E-3</v>
      </c>
      <c r="P141" s="125"/>
      <c r="Q141" s="125">
        <f>IF(O141&gt;0,N141/O141-1,"N/A")</f>
        <v>0.33333333333333326</v>
      </c>
      <c r="R141" s="140"/>
      <c r="S141" s="322" t="s">
        <v>270</v>
      </c>
      <c r="T141" s="126"/>
      <c r="U141" s="75"/>
      <c r="V141" s="75" t="s">
        <v>411</v>
      </c>
      <c r="W141" s="74" t="s">
        <v>445</v>
      </c>
      <c r="X141" s="183" t="s">
        <v>470</v>
      </c>
      <c r="Y141" s="74" t="s">
        <v>35</v>
      </c>
      <c r="Z141" s="190" t="s">
        <v>43</v>
      </c>
    </row>
    <row r="142" spans="1:34" s="65" customFormat="1" ht="51.75" outlineLevel="3" thickBot="1">
      <c r="A142" s="359"/>
      <c r="B142" s="54"/>
      <c r="D142" s="66" t="s">
        <v>235</v>
      </c>
      <c r="E142" s="66"/>
      <c r="F142" s="329"/>
      <c r="G142" s="66"/>
      <c r="H142" s="66"/>
      <c r="I142" s="329"/>
      <c r="J142" s="67"/>
      <c r="L142" s="328"/>
      <c r="N142" s="52">
        <v>1E-3</v>
      </c>
      <c r="O142" s="361">
        <v>5.9999999999999995E-4</v>
      </c>
      <c r="P142" s="125"/>
      <c r="Q142" s="125">
        <f>IF(O142&gt;0,N142/O142-1,"N/A")</f>
        <v>0.66666666666666674</v>
      </c>
      <c r="R142" s="140"/>
      <c r="S142" s="322" t="s">
        <v>572</v>
      </c>
      <c r="T142" s="126" t="s">
        <v>168</v>
      </c>
      <c r="U142" s="75"/>
      <c r="V142" s="75" t="s">
        <v>25</v>
      </c>
      <c r="W142" s="362" t="s">
        <v>569</v>
      </c>
      <c r="X142" s="363" t="s">
        <v>570</v>
      </c>
      <c r="Y142" s="74" t="s">
        <v>35</v>
      </c>
      <c r="Z142" s="190" t="s">
        <v>44</v>
      </c>
    </row>
    <row r="143" spans="1:34" s="65" customFormat="1" ht="51.75" outlineLevel="3" thickBot="1">
      <c r="A143" s="359"/>
      <c r="B143" s="54"/>
      <c r="D143" s="66" t="s">
        <v>236</v>
      </c>
      <c r="E143" s="66"/>
      <c r="F143" s="329"/>
      <c r="G143" s="66"/>
      <c r="H143" s="66"/>
      <c r="I143" s="329"/>
      <c r="J143" s="67"/>
      <c r="L143" s="328"/>
      <c r="N143" s="360">
        <v>5.0000000000000001E-4</v>
      </c>
      <c r="O143" s="361">
        <v>5.0000000000000001E-4</v>
      </c>
      <c r="P143" s="125"/>
      <c r="Q143" s="125">
        <f>IF(O143&gt;0,N143/O143-1,"N/A")</f>
        <v>0</v>
      </c>
      <c r="R143" s="140"/>
      <c r="S143" s="322" t="s">
        <v>573</v>
      </c>
      <c r="T143" s="126" t="s">
        <v>168</v>
      </c>
      <c r="U143" s="75"/>
      <c r="V143" s="333" t="s">
        <v>25</v>
      </c>
      <c r="W143" s="362" t="s">
        <v>569</v>
      </c>
      <c r="X143" s="363" t="s">
        <v>570</v>
      </c>
      <c r="Y143" s="74" t="s">
        <v>35</v>
      </c>
      <c r="Z143" s="190" t="s">
        <v>44</v>
      </c>
    </row>
    <row r="144" spans="1:34" s="65" customFormat="1" ht="51.75" outlineLevel="3" thickBot="1">
      <c r="A144" s="359"/>
      <c r="B144" s="54"/>
      <c r="D144" s="66" t="s">
        <v>237</v>
      </c>
      <c r="E144" s="66"/>
      <c r="F144" s="329"/>
      <c r="G144" s="66"/>
      <c r="H144" s="66"/>
      <c r="I144" s="329"/>
      <c r="J144" s="67"/>
      <c r="L144" s="328"/>
      <c r="N144" s="52">
        <v>2E-3</v>
      </c>
      <c r="O144" s="361">
        <v>1.2600000000000001E-3</v>
      </c>
      <c r="P144" s="125"/>
      <c r="Q144" s="125">
        <f>IF(O144&gt;0,N144/O144-1,"N/A")</f>
        <v>0.58730158730158721</v>
      </c>
      <c r="R144" s="140"/>
      <c r="S144" s="322" t="s">
        <v>577</v>
      </c>
      <c r="T144" s="126" t="s">
        <v>168</v>
      </c>
      <c r="U144" s="75"/>
      <c r="V144" s="333" t="s">
        <v>25</v>
      </c>
      <c r="W144" s="362" t="s">
        <v>569</v>
      </c>
      <c r="X144" s="363" t="s">
        <v>570</v>
      </c>
      <c r="Y144" s="74" t="s">
        <v>35</v>
      </c>
      <c r="Z144" s="190" t="s">
        <v>44</v>
      </c>
    </row>
    <row r="145" spans="2:34" ht="13.5" outlineLevel="3" thickBot="1">
      <c r="B145" s="43"/>
      <c r="C145" s="43"/>
      <c r="D145" s="66"/>
      <c r="E145" s="66"/>
      <c r="F145" s="329"/>
      <c r="G145" s="66"/>
      <c r="H145" s="66"/>
      <c r="I145" s="329"/>
      <c r="J145" s="67"/>
      <c r="K145" s="66"/>
      <c r="L145" s="329"/>
      <c r="M145" s="66"/>
      <c r="N145" s="66"/>
      <c r="O145" s="66"/>
      <c r="P145" s="335"/>
      <c r="Q145" s="78"/>
      <c r="R145" s="88"/>
      <c r="S145" s="88"/>
      <c r="T145" s="88"/>
      <c r="U145" s="81"/>
      <c r="V145" s="81"/>
      <c r="W145" s="80"/>
      <c r="X145" s="87"/>
      <c r="Y145" s="80"/>
      <c r="Z145" s="285"/>
      <c r="AH145" s="71"/>
    </row>
    <row r="146" spans="2:34" ht="13.5" outlineLevel="2" thickBot="1">
      <c r="B146" s="43"/>
      <c r="C146" s="54" t="s">
        <v>45</v>
      </c>
      <c r="D146" s="54"/>
      <c r="E146" s="54"/>
      <c r="F146" s="327"/>
      <c r="G146" s="54"/>
      <c r="H146" s="66"/>
      <c r="I146" s="329"/>
      <c r="J146" s="112"/>
      <c r="K146" s="113">
        <f>SQRT(SUMSQ(N147,N148,N149,N150,N151))</f>
        <v>1.8681541692269404E-2</v>
      </c>
      <c r="L146" s="355"/>
      <c r="M146" s="53">
        <f>SQRT(SUMSQ(O147,O148,O149,O150,O151))</f>
        <v>1.6153724028842392E-2</v>
      </c>
      <c r="N146" s="66"/>
      <c r="O146" s="66"/>
      <c r="P146" s="59" t="str">
        <f t="shared" ref="P146" si="28">IF(L146&gt;0,K146/L146-1,"N/A")</f>
        <v>N/A</v>
      </c>
      <c r="Q146" s="59">
        <f>IF(M146&gt;0,K146/M146-1,"N/A")</f>
        <v>0.15648513363937666</v>
      </c>
      <c r="R146" s="115"/>
      <c r="S146" s="115"/>
      <c r="T146" s="123"/>
      <c r="U146" s="63"/>
      <c r="V146" s="63"/>
      <c r="W146" s="70"/>
      <c r="X146" s="181"/>
      <c r="Y146" s="70"/>
      <c r="Z146" s="284"/>
      <c r="AH146" s="71"/>
    </row>
    <row r="147" spans="2:34" s="65" customFormat="1" ht="13.5" outlineLevel="3" thickBot="1">
      <c r="B147" s="54"/>
      <c r="D147" s="66" t="s">
        <v>46</v>
      </c>
      <c r="E147" s="66"/>
      <c r="F147" s="329"/>
      <c r="I147" s="328"/>
      <c r="J147" s="67"/>
      <c r="K147" s="66"/>
      <c r="L147" s="329"/>
      <c r="N147" s="52">
        <v>4.0000000000000001E-3</v>
      </c>
      <c r="O147" s="124">
        <v>3.0000000000000001E-3</v>
      </c>
      <c r="P147" s="125"/>
      <c r="Q147" s="125">
        <f>IF(O147&gt;0,N147/O147-1,"N/A")</f>
        <v>0.33333333333333326</v>
      </c>
      <c r="R147" s="140"/>
      <c r="S147" s="322" t="s">
        <v>269</v>
      </c>
      <c r="T147" s="126" t="s">
        <v>197</v>
      </c>
      <c r="U147" s="75"/>
      <c r="V147" s="75" t="s">
        <v>411</v>
      </c>
      <c r="W147" s="74" t="s">
        <v>445</v>
      </c>
      <c r="X147" s="183" t="s">
        <v>471</v>
      </c>
      <c r="Y147" s="74" t="s">
        <v>35</v>
      </c>
      <c r="Z147" s="190" t="s">
        <v>36</v>
      </c>
    </row>
    <row r="148" spans="2:34" s="65" customFormat="1" ht="26.25" outlineLevel="3" thickBot="1">
      <c r="B148" s="54"/>
      <c r="D148" s="66" t="s">
        <v>196</v>
      </c>
      <c r="E148" s="66"/>
      <c r="F148" s="329"/>
      <c r="I148" s="328"/>
      <c r="J148" s="67"/>
      <c r="K148" s="66"/>
      <c r="L148" s="329"/>
      <c r="N148" s="52">
        <v>2E-3</v>
      </c>
      <c r="O148" s="124">
        <v>1E-3</v>
      </c>
      <c r="P148" s="125"/>
      <c r="Q148" s="125">
        <f>IF(O148&gt;0,N148/O148-1,"N/A")</f>
        <v>1</v>
      </c>
      <c r="R148" s="140"/>
      <c r="S148" s="322" t="s">
        <v>271</v>
      </c>
      <c r="T148" s="126"/>
      <c r="U148" s="75"/>
      <c r="V148" s="75" t="s">
        <v>411</v>
      </c>
      <c r="W148" s="74" t="s">
        <v>445</v>
      </c>
      <c r="X148" s="183" t="s">
        <v>471</v>
      </c>
      <c r="Y148" s="74" t="s">
        <v>35</v>
      </c>
      <c r="Z148" s="190" t="s">
        <v>47</v>
      </c>
    </row>
    <row r="149" spans="2:34" s="65" customFormat="1" ht="26.25" outlineLevel="3" thickBot="1">
      <c r="B149" s="54"/>
      <c r="D149" s="66" t="s">
        <v>238</v>
      </c>
      <c r="E149" s="66"/>
      <c r="F149" s="329"/>
      <c r="I149" s="328"/>
      <c r="J149" s="67"/>
      <c r="K149" s="66"/>
      <c r="L149" s="329"/>
      <c r="N149" s="52">
        <v>1.7999999999999999E-2</v>
      </c>
      <c r="O149" s="124">
        <v>1.5800000000000002E-2</v>
      </c>
      <c r="P149" s="125"/>
      <c r="Q149" s="125">
        <f>IF(O149&gt;0,N149/O149-1,"N/A")</f>
        <v>0.13924050632911378</v>
      </c>
      <c r="R149" s="140"/>
      <c r="S149" s="322" t="s">
        <v>441</v>
      </c>
      <c r="T149" s="126" t="s">
        <v>168</v>
      </c>
      <c r="U149" s="75"/>
      <c r="V149" s="75" t="s">
        <v>28</v>
      </c>
      <c r="W149" s="74"/>
      <c r="X149" s="139"/>
      <c r="Y149" s="74" t="s">
        <v>35</v>
      </c>
      <c r="Z149" s="190" t="s">
        <v>48</v>
      </c>
    </row>
    <row r="150" spans="2:34" s="65" customFormat="1" ht="26.25" outlineLevel="3" thickBot="1">
      <c r="B150" s="54"/>
      <c r="D150" s="66" t="s">
        <v>239</v>
      </c>
      <c r="E150" s="66"/>
      <c r="F150" s="329"/>
      <c r="I150" s="328"/>
      <c r="J150" s="67"/>
      <c r="K150" s="66"/>
      <c r="L150" s="329"/>
      <c r="N150" s="52">
        <v>1E-3</v>
      </c>
      <c r="O150" s="124">
        <v>2.2000000000000001E-4</v>
      </c>
      <c r="P150" s="125"/>
      <c r="Q150" s="125">
        <f>IF(O150&gt;0,N150/O150-1,"N/A")</f>
        <v>3.545454545454545</v>
      </c>
      <c r="R150" s="140"/>
      <c r="S150" s="322" t="s">
        <v>441</v>
      </c>
      <c r="T150" s="126" t="s">
        <v>168</v>
      </c>
      <c r="U150" s="75"/>
      <c r="V150" s="75" t="s">
        <v>28</v>
      </c>
      <c r="W150" s="74"/>
      <c r="X150" s="139"/>
      <c r="Y150" s="74" t="s">
        <v>35</v>
      </c>
      <c r="Z150" s="190" t="s">
        <v>48</v>
      </c>
    </row>
    <row r="151" spans="2:34" s="65" customFormat="1" ht="26.25" outlineLevel="3" thickBot="1">
      <c r="B151" s="54"/>
      <c r="D151" s="66" t="s">
        <v>240</v>
      </c>
      <c r="E151" s="66"/>
      <c r="F151" s="329"/>
      <c r="I151" s="328"/>
      <c r="J151" s="67"/>
      <c r="K151" s="66"/>
      <c r="L151" s="329"/>
      <c r="N151" s="52">
        <v>2E-3</v>
      </c>
      <c r="O151" s="356">
        <v>1.1199999999999999E-3</v>
      </c>
      <c r="P151" s="59"/>
      <c r="Q151" s="59">
        <f>IF(O151&gt;0,N151/O151-1,"N/A")</f>
        <v>0.78571428571428581</v>
      </c>
      <c r="R151" s="146"/>
      <c r="S151" s="147" t="s">
        <v>441</v>
      </c>
      <c r="T151" s="147" t="s">
        <v>168</v>
      </c>
      <c r="U151" s="128"/>
      <c r="V151" s="128" t="s">
        <v>28</v>
      </c>
      <c r="W151" s="129"/>
      <c r="X151" s="136"/>
      <c r="Y151" s="129" t="s">
        <v>35</v>
      </c>
      <c r="Z151" s="191" t="s">
        <v>48</v>
      </c>
    </row>
    <row r="152" spans="2:34" ht="13.5" outlineLevel="3" thickBot="1">
      <c r="B152" s="43"/>
      <c r="C152" s="43"/>
      <c r="D152" s="43"/>
      <c r="E152" s="66"/>
      <c r="F152" s="329"/>
      <c r="J152" s="67"/>
      <c r="K152" s="66"/>
      <c r="L152" s="329"/>
      <c r="M152" s="66"/>
      <c r="N152" s="66"/>
      <c r="O152" s="66"/>
      <c r="P152" s="33"/>
      <c r="Q152" s="33"/>
      <c r="R152" s="106"/>
      <c r="S152" s="106"/>
      <c r="T152" s="106"/>
      <c r="U152" s="34"/>
      <c r="V152" s="34"/>
      <c r="W152" s="107"/>
      <c r="X152" s="105"/>
      <c r="Y152" s="107"/>
      <c r="Z152" s="290"/>
      <c r="AH152" s="71"/>
    </row>
    <row r="153" spans="2:34" ht="13.5" outlineLevel="2" thickBot="1">
      <c r="C153" s="34" t="s">
        <v>49</v>
      </c>
      <c r="D153" s="34"/>
      <c r="E153" s="54"/>
      <c r="F153" s="327"/>
      <c r="J153" s="58"/>
      <c r="K153" s="113">
        <f>SQRT(SUMSQ(N154,N155))</f>
        <v>3.8587562763149471E-3</v>
      </c>
      <c r="L153" s="355"/>
      <c r="M153" s="53">
        <f>SQRT(SUMSQ(O154,O155))</f>
        <v>2.2638740601014008E-3</v>
      </c>
      <c r="N153" s="54"/>
      <c r="O153" s="54"/>
      <c r="P153" s="59" t="str">
        <f t="shared" ref="P153" si="29">IF(L153&gt;0,K153/L153-1,"N/A")</f>
        <v>N/A</v>
      </c>
      <c r="Q153" s="275"/>
      <c r="R153" s="152"/>
      <c r="S153" s="152"/>
      <c r="T153" s="152"/>
      <c r="U153" s="276"/>
      <c r="V153" s="236"/>
      <c r="W153" s="237"/>
      <c r="X153" s="130"/>
      <c r="Y153" s="237"/>
      <c r="Z153" s="291"/>
      <c r="AH153" s="71"/>
    </row>
    <row r="154" spans="2:34" ht="26.25" outlineLevel="3" thickBot="1">
      <c r="C154" s="43"/>
      <c r="D154" s="43" t="s">
        <v>50</v>
      </c>
      <c r="E154" s="66"/>
      <c r="F154" s="329"/>
      <c r="G154" s="66"/>
      <c r="H154" s="66"/>
      <c r="I154" s="329"/>
      <c r="J154" s="66"/>
      <c r="K154" s="107"/>
      <c r="L154" s="107"/>
      <c r="N154" s="52">
        <v>2E-3</v>
      </c>
      <c r="O154" s="53">
        <f>0.112*0.0098</f>
        <v>1.0976E-3</v>
      </c>
      <c r="P154" s="127"/>
      <c r="Q154" s="33">
        <f>IF(O154&gt;0,N154/O154-1,"N/A")</f>
        <v>0.82215743440233235</v>
      </c>
      <c r="R154" s="141"/>
      <c r="S154" s="141" t="s">
        <v>272</v>
      </c>
      <c r="T154" s="191" t="s">
        <v>174</v>
      </c>
      <c r="U154" s="277"/>
      <c r="V154" s="242" t="s">
        <v>51</v>
      </c>
      <c r="W154" s="156"/>
      <c r="X154" s="243"/>
      <c r="Y154" s="244" t="s">
        <v>35</v>
      </c>
      <c r="Z154" s="294" t="s">
        <v>52</v>
      </c>
      <c r="AH154" s="71"/>
    </row>
    <row r="155" spans="2:34" ht="26.25" outlineLevel="3" thickBot="1">
      <c r="C155" s="43"/>
      <c r="D155" s="43" t="s">
        <v>53</v>
      </c>
      <c r="E155" s="66"/>
      <c r="F155" s="329"/>
      <c r="G155" s="66"/>
      <c r="H155" s="66"/>
      <c r="I155" s="329"/>
      <c r="J155" s="66"/>
      <c r="N155" s="52">
        <f>1*0.0033</f>
        <v>3.3E-3</v>
      </c>
      <c r="O155" s="124">
        <f>3*0.2*0.0033</f>
        <v>1.9800000000000004E-3</v>
      </c>
      <c r="P155" s="127"/>
      <c r="Q155" s="268">
        <f>IF(O155&gt;0,N155/O155-1,"N/A")</f>
        <v>0.6666666666666663</v>
      </c>
      <c r="R155" s="152"/>
      <c r="S155" s="152" t="s">
        <v>383</v>
      </c>
      <c r="T155" s="141" t="s">
        <v>175</v>
      </c>
      <c r="U155" s="270"/>
      <c r="V155" s="63" t="s">
        <v>28</v>
      </c>
      <c r="W155" s="70"/>
      <c r="X155" s="62"/>
      <c r="Y155" s="64" t="s">
        <v>35</v>
      </c>
      <c r="Z155" s="283" t="s">
        <v>54</v>
      </c>
      <c r="AH155" s="71"/>
    </row>
    <row r="156" spans="2:34" ht="13.5" outlineLevel="3" thickBot="1">
      <c r="B156" s="43"/>
      <c r="C156" s="43"/>
      <c r="D156" s="54"/>
      <c r="E156" s="66"/>
      <c r="F156" s="329"/>
      <c r="G156" s="66"/>
      <c r="H156" s="66"/>
      <c r="I156" s="329"/>
      <c r="J156" s="66"/>
      <c r="K156" s="66"/>
      <c r="L156" s="329"/>
      <c r="M156" s="66"/>
      <c r="N156" s="31"/>
      <c r="O156" s="31"/>
      <c r="P156" s="33"/>
      <c r="Q156" s="33"/>
      <c r="R156" s="137"/>
      <c r="S156" s="137"/>
      <c r="T156" s="137"/>
      <c r="U156" s="54"/>
      <c r="V156" s="34"/>
      <c r="W156" s="32"/>
      <c r="X156" s="32"/>
      <c r="Y156" s="32"/>
      <c r="Z156" s="229"/>
      <c r="AH156" s="71"/>
    </row>
    <row r="157" spans="2:34" ht="13.5" thickBot="1">
      <c r="B157" s="56" t="s">
        <v>58</v>
      </c>
      <c r="C157" s="56"/>
      <c r="D157" s="56"/>
      <c r="E157" s="40">
        <f>SQRT(SUMSQ(H158,H160,H193))</f>
        <v>3.940964348988709E-2</v>
      </c>
      <c r="F157" s="354">
        <f>SQRT(SUMSQ(I158,I160,I193))</f>
        <v>3.3392029081731466E-2</v>
      </c>
      <c r="G157" s="41">
        <f>SQRT(SUMSQ(J158,J160,J193))</f>
        <v>3.3392029081731466E-2</v>
      </c>
      <c r="H157" s="57"/>
      <c r="I157" s="57"/>
      <c r="J157" s="57"/>
      <c r="K157" s="57"/>
      <c r="L157" s="57"/>
      <c r="M157" s="57"/>
      <c r="N157" s="57"/>
      <c r="O157" s="57"/>
      <c r="P157" s="262">
        <f>E157/F157-1</f>
        <v>0.18021110347702174</v>
      </c>
      <c r="Q157" s="246">
        <f>E157/G157-1</f>
        <v>0.18021110347702174</v>
      </c>
      <c r="R157" s="247"/>
      <c r="S157" s="247"/>
      <c r="T157" s="248"/>
      <c r="U157" s="249"/>
      <c r="V157" s="249" t="s">
        <v>449</v>
      </c>
      <c r="W157" s="250" t="s">
        <v>443</v>
      </c>
      <c r="X157" s="251" t="s">
        <v>472</v>
      </c>
      <c r="Y157" s="250"/>
      <c r="Z157" s="295"/>
      <c r="AH157" s="71"/>
    </row>
    <row r="158" spans="2:34" ht="13.5" outlineLevel="1" thickBot="1">
      <c r="B158" s="47" t="s">
        <v>59</v>
      </c>
      <c r="C158" s="54"/>
      <c r="D158" s="54"/>
      <c r="E158" s="54"/>
      <c r="F158" s="327"/>
      <c r="G158" s="67"/>
      <c r="H158" s="52">
        <v>2.3E-2</v>
      </c>
      <c r="I158" s="355">
        <f>J158</f>
        <v>0.02</v>
      </c>
      <c r="J158" s="53">
        <v>0.02</v>
      </c>
      <c r="K158" s="54"/>
      <c r="L158" s="327"/>
      <c r="M158" s="54"/>
      <c r="N158" s="54"/>
      <c r="O158" s="54"/>
      <c r="P158" s="84">
        <f>IF(I158&gt;0,H158/I158-1,"N/A")</f>
        <v>0.14999999999999991</v>
      </c>
      <c r="Q158" s="154">
        <f>IF(J158&gt;0,H158/J158-1,"N/A")</f>
        <v>0.14999999999999991</v>
      </c>
      <c r="R158" s="169" t="s">
        <v>531</v>
      </c>
      <c r="S158" s="155" t="s">
        <v>312</v>
      </c>
      <c r="T158" s="245"/>
      <c r="U158" s="242"/>
      <c r="V158" s="241"/>
      <c r="W158" s="243"/>
      <c r="X158" s="111"/>
      <c r="Y158" s="243"/>
      <c r="Z158" s="296"/>
      <c r="AH158" s="71"/>
    </row>
    <row r="159" spans="2:34" ht="13.5" outlineLevel="1" thickBot="1">
      <c r="B159" s="43"/>
      <c r="C159" s="43"/>
      <c r="D159" s="43"/>
      <c r="E159" s="66"/>
      <c r="F159" s="329"/>
      <c r="G159" s="67"/>
      <c r="H159" s="66"/>
      <c r="I159" s="329"/>
      <c r="J159" s="66"/>
      <c r="K159" s="66"/>
      <c r="L159" s="329"/>
      <c r="M159" s="66"/>
      <c r="N159" s="66"/>
      <c r="O159" s="66"/>
      <c r="P159" s="100"/>
      <c r="Q159" s="100"/>
      <c r="R159" s="101"/>
      <c r="S159" s="101"/>
      <c r="T159" s="101"/>
      <c r="U159" s="102"/>
      <c r="V159" s="102"/>
      <c r="W159" s="103"/>
      <c r="X159" s="104"/>
      <c r="Y159" s="103"/>
      <c r="Z159" s="297"/>
      <c r="AH159" s="71"/>
    </row>
    <row r="160" spans="2:34" ht="13.5" outlineLevel="1" thickBot="1">
      <c r="B160" s="228" t="s">
        <v>60</v>
      </c>
      <c r="C160" s="43"/>
      <c r="D160" s="43"/>
      <c r="E160" s="66"/>
      <c r="F160" s="329"/>
      <c r="G160" s="67"/>
      <c r="H160" s="52">
        <f>SQRT(SUMSQ(K161,K166,K171,K179,K185))</f>
        <v>3.0399342098144162E-2</v>
      </c>
      <c r="I160" s="355">
        <f>J160</f>
        <v>2.6439130208749301E-2</v>
      </c>
      <c r="J160" s="120">
        <f>SQRT(SUMSQ(M161,M166,M171,M179,M185))</f>
        <v>2.6439130208749301E-2</v>
      </c>
      <c r="K160" s="66"/>
      <c r="L160" s="329"/>
      <c r="M160" s="66"/>
      <c r="N160" s="66"/>
      <c r="O160" s="66"/>
      <c r="P160" s="59">
        <f>IF(I160&gt;0,H160/I160-1,"N/A")</f>
        <v>0.14978601255514601</v>
      </c>
      <c r="Q160" s="59">
        <f>IF(J160&gt;0,H160/J160-1,"N/A")</f>
        <v>0.14978601255514601</v>
      </c>
      <c r="R160" s="169" t="s">
        <v>531</v>
      </c>
      <c r="S160" s="141"/>
      <c r="T160" s="141"/>
      <c r="U160" s="236"/>
      <c r="V160" s="236"/>
      <c r="W160" s="237"/>
      <c r="X160" s="130"/>
      <c r="Y160" s="237"/>
      <c r="Z160" s="291"/>
      <c r="AH160" s="71"/>
    </row>
    <row r="161" spans="1:34" ht="13.5" outlineLevel="2" thickBot="1">
      <c r="B161" s="43"/>
      <c r="C161" s="54" t="s">
        <v>61</v>
      </c>
      <c r="D161" s="54"/>
      <c r="E161" s="54"/>
      <c r="F161" s="327"/>
      <c r="G161" s="58"/>
      <c r="H161" s="66"/>
      <c r="I161" s="329"/>
      <c r="J161" s="112"/>
      <c r="K161" s="113">
        <f>SQRT(SUMSQ(N162:N164))</f>
        <v>1.8138357147217055E-2</v>
      </c>
      <c r="L161" s="355"/>
      <c r="M161" s="53">
        <f>SQRT(SUMSQ(O162:O164))</f>
        <v>1.6031219541881397E-2</v>
      </c>
      <c r="N161" s="66"/>
      <c r="O161" s="66"/>
      <c r="P161" s="59" t="str">
        <f t="shared" ref="P161" si="30">IF(L161&gt;0,K161/L161-1,"N/A")</f>
        <v>N/A</v>
      </c>
      <c r="Q161" s="84">
        <f>IF(M161&gt;0,K161/M161-1,"N/A")</f>
        <v>0.13143963251396951</v>
      </c>
      <c r="R161" s="121"/>
      <c r="S161" s="121"/>
      <c r="T161" s="122"/>
      <c r="U161" s="86"/>
      <c r="V161" s="86" t="s">
        <v>411</v>
      </c>
      <c r="W161" s="85" t="s">
        <v>445</v>
      </c>
      <c r="X161" s="182" t="s">
        <v>473</v>
      </c>
      <c r="Y161" s="85"/>
      <c r="Z161" s="294"/>
      <c r="AH161" s="71"/>
    </row>
    <row r="162" spans="1:34" s="65" customFormat="1" ht="13.5" outlineLevel="3" thickBot="1">
      <c r="B162" s="54"/>
      <c r="D162" s="43" t="s">
        <v>201</v>
      </c>
      <c r="E162" s="66"/>
      <c r="F162" s="329"/>
      <c r="G162" s="67"/>
      <c r="H162" s="66"/>
      <c r="I162" s="329"/>
      <c r="J162" s="67"/>
      <c r="L162" s="328"/>
      <c r="N162" s="52">
        <v>1.7999999999999999E-2</v>
      </c>
      <c r="O162" s="124">
        <v>1.6E-2</v>
      </c>
      <c r="P162" s="125"/>
      <c r="Q162" s="125">
        <f>IF(O162&gt;0,N162/O162-1,"N/A")</f>
        <v>0.125</v>
      </c>
      <c r="R162" s="140"/>
      <c r="S162" s="322" t="s">
        <v>273</v>
      </c>
      <c r="T162" s="126" t="s">
        <v>198</v>
      </c>
      <c r="U162" s="75"/>
      <c r="V162" s="75" t="s">
        <v>13</v>
      </c>
      <c r="W162" s="74"/>
      <c r="X162" s="183"/>
      <c r="Y162" s="74" t="s">
        <v>63</v>
      </c>
      <c r="Z162" s="190"/>
    </row>
    <row r="163" spans="1:34" s="65" customFormat="1" ht="26.25" outlineLevel="3" thickBot="1">
      <c r="B163" s="54"/>
      <c r="D163" s="43" t="s">
        <v>62</v>
      </c>
      <c r="E163" s="66"/>
      <c r="F163" s="329"/>
      <c r="G163" s="67"/>
      <c r="H163" s="66"/>
      <c r="I163" s="329"/>
      <c r="J163" s="67"/>
      <c r="L163" s="328"/>
      <c r="N163" s="52">
        <v>2E-3</v>
      </c>
      <c r="O163" s="124">
        <v>1E-3</v>
      </c>
      <c r="P163" s="125"/>
      <c r="Q163" s="125">
        <f>IF(O163&gt;0,N163/O163-1,"N/A")</f>
        <v>1</v>
      </c>
      <c r="R163" s="140"/>
      <c r="S163" s="322" t="s">
        <v>274</v>
      </c>
      <c r="T163" s="126"/>
      <c r="U163" s="75"/>
      <c r="V163" s="75" t="s">
        <v>13</v>
      </c>
      <c r="W163" s="74"/>
      <c r="X163" s="183"/>
      <c r="Y163" s="74" t="s">
        <v>63</v>
      </c>
      <c r="Z163" s="190"/>
    </row>
    <row r="164" spans="1:34" ht="13.5" outlineLevel="3" thickBot="1">
      <c r="C164" s="43"/>
      <c r="D164" s="43" t="s">
        <v>478</v>
      </c>
      <c r="E164" s="54"/>
      <c r="F164" s="327"/>
      <c r="G164" s="58"/>
      <c r="H164" s="107"/>
      <c r="I164" s="107"/>
      <c r="J164" s="112"/>
      <c r="K164" s="54"/>
      <c r="L164" s="327"/>
      <c r="M164" s="54"/>
      <c r="N164" s="52">
        <v>1E-3</v>
      </c>
      <c r="O164" s="124">
        <v>0</v>
      </c>
      <c r="P164" s="125"/>
      <c r="Q164" s="125" t="str">
        <f>IF(O164&gt;0,N164/O164-1,"N/A")</f>
        <v>N/A</v>
      </c>
      <c r="R164" s="133"/>
      <c r="S164" s="133" t="s">
        <v>275</v>
      </c>
      <c r="T164" s="126" t="s">
        <v>203</v>
      </c>
      <c r="U164" s="75"/>
      <c r="V164" s="75" t="s">
        <v>23</v>
      </c>
      <c r="W164" s="74"/>
      <c r="X164" s="183"/>
      <c r="Y164" s="74" t="s">
        <v>63</v>
      </c>
      <c r="Z164" s="289"/>
      <c r="AH164" s="71"/>
    </row>
    <row r="165" spans="1:34" ht="13.5" outlineLevel="3" thickBot="1">
      <c r="B165" s="43"/>
      <c r="C165" s="43"/>
      <c r="D165" s="43"/>
      <c r="E165" s="66"/>
      <c r="F165" s="329"/>
      <c r="G165" s="67"/>
      <c r="H165" s="66"/>
      <c r="I165" s="329"/>
      <c r="J165" s="67"/>
      <c r="K165" s="66"/>
      <c r="L165" s="329"/>
      <c r="M165" s="66"/>
      <c r="N165" s="66"/>
      <c r="O165" s="66"/>
      <c r="P165" s="335"/>
      <c r="Q165" s="78"/>
      <c r="R165" s="88"/>
      <c r="S165" s="88"/>
      <c r="T165" s="88"/>
      <c r="U165" s="81"/>
      <c r="V165" s="81"/>
      <c r="W165" s="80"/>
      <c r="X165" s="87"/>
      <c r="Y165" s="80"/>
      <c r="Z165" s="285"/>
      <c r="AH165" s="71"/>
    </row>
    <row r="166" spans="1:34" ht="13.5" outlineLevel="2" thickBot="1">
      <c r="B166" s="43"/>
      <c r="C166" s="54" t="s">
        <v>64</v>
      </c>
      <c r="D166" s="54"/>
      <c r="E166" s="54"/>
      <c r="F166" s="327"/>
      <c r="G166" s="58"/>
      <c r="H166" s="66"/>
      <c r="I166" s="329"/>
      <c r="J166" s="112"/>
      <c r="K166" s="113">
        <f>SQRT(SUMSQ(N167:N169))</f>
        <v>1.8138357147217055E-2</v>
      </c>
      <c r="L166" s="355"/>
      <c r="M166" s="53">
        <f>SQRT(SUMSQ(O167:O169))</f>
        <v>1.6031219541881397E-2</v>
      </c>
      <c r="N166" s="66"/>
      <c r="O166" s="66"/>
      <c r="P166" s="59" t="str">
        <f t="shared" ref="P166" si="31">IF(L166&gt;0,K166/L166-1,"N/A")</f>
        <v>N/A</v>
      </c>
      <c r="Q166" s="84">
        <f>IF(M166&gt;0,K166/M166-1,"N/A")</f>
        <v>0.13143963251396951</v>
      </c>
      <c r="R166" s="121"/>
      <c r="S166" s="121"/>
      <c r="T166" s="122"/>
      <c r="U166" s="86"/>
      <c r="V166" s="86" t="s">
        <v>411</v>
      </c>
      <c r="W166" s="85" t="s">
        <v>445</v>
      </c>
      <c r="X166" s="182" t="s">
        <v>474</v>
      </c>
      <c r="Y166" s="85"/>
      <c r="Z166" s="286"/>
      <c r="AH166" s="71"/>
    </row>
    <row r="167" spans="1:34" ht="13.5" outlineLevel="3" thickBot="1">
      <c r="B167" s="43"/>
      <c r="D167" s="43" t="s">
        <v>202</v>
      </c>
      <c r="E167" s="66"/>
      <c r="F167" s="329"/>
      <c r="G167" s="67"/>
      <c r="H167" s="66"/>
      <c r="I167" s="329"/>
      <c r="J167" s="67"/>
      <c r="N167" s="52">
        <v>1.7999999999999999E-2</v>
      </c>
      <c r="O167" s="124">
        <v>1.6E-2</v>
      </c>
      <c r="P167" s="125"/>
      <c r="Q167" s="125">
        <f>IF(O167&gt;0,N167/O167-1,"N/A")</f>
        <v>0.125</v>
      </c>
      <c r="R167" s="140"/>
      <c r="S167" s="322" t="s">
        <v>277</v>
      </c>
      <c r="T167" s="126" t="s">
        <v>199</v>
      </c>
      <c r="U167" s="75"/>
      <c r="V167" s="75" t="s">
        <v>17</v>
      </c>
      <c r="W167" s="74"/>
      <c r="X167" s="183"/>
      <c r="Y167" s="74" t="s">
        <v>63</v>
      </c>
      <c r="Z167" s="284"/>
      <c r="AH167" s="71"/>
    </row>
    <row r="168" spans="1:34" ht="26.25" outlineLevel="3" thickBot="1">
      <c r="B168" s="43"/>
      <c r="D168" s="43" t="s">
        <v>65</v>
      </c>
      <c r="E168" s="66"/>
      <c r="F168" s="329"/>
      <c r="G168" s="67"/>
      <c r="H168" s="66"/>
      <c r="I168" s="329"/>
      <c r="J168" s="67"/>
      <c r="N168" s="52">
        <v>2E-3</v>
      </c>
      <c r="O168" s="124">
        <v>1E-3</v>
      </c>
      <c r="P168" s="125"/>
      <c r="Q168" s="125">
        <f>IF(O168&gt;0,N168/O168-1,"N/A")</f>
        <v>1</v>
      </c>
      <c r="R168" s="140"/>
      <c r="S168" s="322" t="s">
        <v>278</v>
      </c>
      <c r="T168" s="126"/>
      <c r="U168" s="75"/>
      <c r="V168" s="75" t="s">
        <v>17</v>
      </c>
      <c r="W168" s="74"/>
      <c r="X168" s="183"/>
      <c r="Y168" s="74" t="s">
        <v>63</v>
      </c>
      <c r="Z168" s="284"/>
      <c r="AH168" s="71"/>
    </row>
    <row r="169" spans="1:34" ht="13.5" outlineLevel="3" thickBot="1">
      <c r="C169" s="43"/>
      <c r="D169" s="43" t="s">
        <v>205</v>
      </c>
      <c r="E169" s="54"/>
      <c r="F169" s="327"/>
      <c r="G169" s="58"/>
      <c r="H169" s="107"/>
      <c r="I169" s="107"/>
      <c r="J169" s="112"/>
      <c r="K169" s="54"/>
      <c r="L169" s="327"/>
      <c r="M169" s="54"/>
      <c r="N169" s="52">
        <v>1E-3</v>
      </c>
      <c r="O169" s="124">
        <v>0</v>
      </c>
      <c r="P169" s="125"/>
      <c r="Q169" s="125" t="str">
        <f>IF(O169&gt;0,N169/O169-1,"N/A")</f>
        <v>N/A</v>
      </c>
      <c r="R169" s="133"/>
      <c r="S169" s="133" t="s">
        <v>279</v>
      </c>
      <c r="T169" s="126" t="s">
        <v>203</v>
      </c>
      <c r="U169" s="75"/>
      <c r="V169" s="75" t="s">
        <v>23</v>
      </c>
      <c r="W169" s="74"/>
      <c r="X169" s="183"/>
      <c r="Y169" s="74" t="s">
        <v>63</v>
      </c>
      <c r="Z169" s="289"/>
      <c r="AH169" s="71"/>
    </row>
    <row r="170" spans="1:34" ht="13.5" outlineLevel="3" thickBot="1">
      <c r="B170" s="43"/>
      <c r="C170" s="43"/>
      <c r="D170" s="43"/>
      <c r="E170" s="66"/>
      <c r="F170" s="329"/>
      <c r="G170" s="67"/>
      <c r="H170" s="66"/>
      <c r="I170" s="329"/>
      <c r="J170" s="67"/>
      <c r="K170" s="66"/>
      <c r="L170" s="329"/>
      <c r="M170" s="66"/>
      <c r="N170" s="66"/>
      <c r="O170" s="66"/>
      <c r="P170" s="335"/>
      <c r="Q170" s="78"/>
      <c r="R170" s="88"/>
      <c r="S170" s="88"/>
      <c r="T170" s="88"/>
      <c r="U170" s="81"/>
      <c r="V170" s="81"/>
      <c r="W170" s="80"/>
      <c r="X170" s="87"/>
      <c r="Y170" s="80"/>
      <c r="Z170" s="285"/>
      <c r="AH170" s="71"/>
    </row>
    <row r="171" spans="1:34" ht="13.5" outlineLevel="2" thickBot="1">
      <c r="B171" s="43"/>
      <c r="C171" s="54" t="s">
        <v>66</v>
      </c>
      <c r="D171" s="54"/>
      <c r="E171" s="54"/>
      <c r="F171" s="327"/>
      <c r="G171" s="58"/>
      <c r="H171" s="66"/>
      <c r="I171" s="329"/>
      <c r="J171" s="112"/>
      <c r="K171" s="113">
        <f>SQRT(SUMSQ(N172:N177))</f>
        <v>1.3119451208034578E-2</v>
      </c>
      <c r="L171" s="355"/>
      <c r="M171" s="53">
        <f>SQRT(SUMSQ(O172:O177))</f>
        <v>1.1204017136723775E-2</v>
      </c>
      <c r="N171" s="66"/>
      <c r="O171" s="66"/>
      <c r="P171" s="59" t="str">
        <f t="shared" ref="P171" si="32">IF(L171&gt;0,K171/L171-1,"N/A")</f>
        <v>N/A</v>
      </c>
      <c r="Q171" s="84">
        <f>IF(M171&gt;0,K171/M171-1,"N/A")</f>
        <v>0.17095958065188266</v>
      </c>
      <c r="R171" s="121"/>
      <c r="S171" s="121"/>
      <c r="T171" s="122"/>
      <c r="U171" s="86"/>
      <c r="V171" s="86" t="s">
        <v>411</v>
      </c>
      <c r="W171" s="85" t="s">
        <v>445</v>
      </c>
      <c r="X171" s="182" t="s">
        <v>475</v>
      </c>
      <c r="Y171" s="85"/>
      <c r="Z171" s="286"/>
      <c r="AH171" s="71"/>
    </row>
    <row r="172" spans="1:34" ht="26.25" outlineLevel="3" thickBot="1">
      <c r="C172" s="43"/>
      <c r="D172" s="321" t="s">
        <v>502</v>
      </c>
      <c r="E172" s="66"/>
      <c r="F172" s="329"/>
      <c r="G172" s="67"/>
      <c r="H172" s="107"/>
      <c r="I172" s="107"/>
      <c r="J172" s="112"/>
      <c r="K172" s="66"/>
      <c r="L172" s="329"/>
      <c r="M172" s="66"/>
      <c r="N172" s="52">
        <v>4.0000000000000001E-3</v>
      </c>
      <c r="O172" s="124">
        <v>4.0000000000000001E-3</v>
      </c>
      <c r="P172" s="125"/>
      <c r="Q172" s="125">
        <f t="shared" ref="Q172:Q177" si="33">IF(O172&gt;0,N172/O172-1,"N/A")</f>
        <v>0</v>
      </c>
      <c r="R172" s="140"/>
      <c r="S172" s="322" t="s">
        <v>280</v>
      </c>
      <c r="T172" s="126" t="s">
        <v>200</v>
      </c>
      <c r="U172" s="75"/>
      <c r="V172" s="75" t="s">
        <v>19</v>
      </c>
      <c r="W172" s="74"/>
      <c r="X172" s="183"/>
      <c r="Y172" s="74" t="s">
        <v>63</v>
      </c>
      <c r="Z172" s="284"/>
      <c r="AH172" s="71"/>
    </row>
    <row r="173" spans="1:34" ht="39" outlineLevel="3" thickBot="1">
      <c r="C173" s="43"/>
      <c r="D173" s="320" t="s">
        <v>501</v>
      </c>
      <c r="E173" s="66"/>
      <c r="F173" s="329"/>
      <c r="G173" s="67"/>
      <c r="H173" s="107"/>
      <c r="I173" s="107"/>
      <c r="J173" s="112"/>
      <c r="K173" s="66"/>
      <c r="L173" s="329"/>
      <c r="M173" s="66"/>
      <c r="N173" s="52">
        <v>3.0000000000000001E-3</v>
      </c>
      <c r="O173" s="124">
        <v>3.0000000000000001E-3</v>
      </c>
      <c r="P173" s="125"/>
      <c r="Q173" s="125">
        <f t="shared" si="33"/>
        <v>0</v>
      </c>
      <c r="R173" s="322"/>
      <c r="S173" s="322" t="s">
        <v>503</v>
      </c>
      <c r="T173" s="126"/>
      <c r="U173" s="75"/>
      <c r="V173" s="75" t="s">
        <v>19</v>
      </c>
      <c r="W173" s="74"/>
      <c r="X173" s="183"/>
      <c r="Y173" s="74" t="s">
        <v>63</v>
      </c>
      <c r="Z173" s="284"/>
      <c r="AH173" s="71"/>
    </row>
    <row r="174" spans="1:34" ht="26.25" outlineLevel="3" thickBot="1">
      <c r="C174" s="43"/>
      <c r="D174" s="43" t="s">
        <v>204</v>
      </c>
      <c r="E174" s="54"/>
      <c r="F174" s="327"/>
      <c r="G174" s="58"/>
      <c r="H174" s="107"/>
      <c r="I174" s="107"/>
      <c r="J174" s="112"/>
      <c r="K174" s="54"/>
      <c r="L174" s="327"/>
      <c r="M174" s="54"/>
      <c r="N174" s="52">
        <v>1.2E-2</v>
      </c>
      <c r="O174" s="124">
        <v>0.01</v>
      </c>
      <c r="P174" s="125"/>
      <c r="Q174" s="125">
        <f t="shared" si="33"/>
        <v>0.19999999999999996</v>
      </c>
      <c r="R174" s="140"/>
      <c r="S174" s="322" t="s">
        <v>281</v>
      </c>
      <c r="T174" s="126" t="s">
        <v>203</v>
      </c>
      <c r="U174" s="75"/>
      <c r="V174" s="75" t="s">
        <v>23</v>
      </c>
      <c r="W174" s="74"/>
      <c r="X174" s="183"/>
      <c r="Y174" s="74" t="s">
        <v>63</v>
      </c>
      <c r="Z174" s="289"/>
      <c r="AH174" s="71"/>
    </row>
    <row r="175" spans="1:34" s="328" customFormat="1" ht="26.25" outlineLevel="3" thickBot="1">
      <c r="A175" s="359"/>
      <c r="B175" s="327"/>
      <c r="D175" s="329" t="s">
        <v>567</v>
      </c>
      <c r="E175" s="329"/>
      <c r="F175" s="329"/>
      <c r="G175" s="58"/>
      <c r="H175" s="107"/>
      <c r="I175" s="329"/>
      <c r="J175" s="67"/>
      <c r="N175" s="360">
        <v>4.0000000000000002E-4</v>
      </c>
      <c r="O175" s="361">
        <v>2.0000000000000001E-4</v>
      </c>
      <c r="P175" s="125"/>
      <c r="Q175" s="125">
        <f t="shared" si="33"/>
        <v>1</v>
      </c>
      <c r="R175" s="322"/>
      <c r="S175" s="322" t="s">
        <v>574</v>
      </c>
      <c r="T175" s="126" t="s">
        <v>168</v>
      </c>
      <c r="U175" s="333"/>
      <c r="V175" s="364" t="s">
        <v>25</v>
      </c>
      <c r="W175" s="362" t="s">
        <v>569</v>
      </c>
      <c r="X175" s="363" t="s">
        <v>571</v>
      </c>
      <c r="Y175" s="332" t="s">
        <v>63</v>
      </c>
      <c r="Z175" s="190"/>
    </row>
    <row r="176" spans="1:34" s="328" customFormat="1" ht="26.25" outlineLevel="3" thickBot="1">
      <c r="A176" s="359"/>
      <c r="B176" s="327"/>
      <c r="D176" s="329" t="s">
        <v>566</v>
      </c>
      <c r="E176" s="329"/>
      <c r="F176" s="329"/>
      <c r="G176" s="58"/>
      <c r="H176" s="107"/>
      <c r="I176" s="329"/>
      <c r="J176" s="67"/>
      <c r="N176" s="360">
        <v>1E-3</v>
      </c>
      <c r="O176" s="361">
        <v>6.9999999999999999E-4</v>
      </c>
      <c r="P176" s="125"/>
      <c r="Q176" s="125">
        <f t="shared" si="33"/>
        <v>0.4285714285714286</v>
      </c>
      <c r="R176" s="322"/>
      <c r="S176" s="322" t="s">
        <v>576</v>
      </c>
      <c r="T176" s="126" t="s">
        <v>168</v>
      </c>
      <c r="U176" s="333"/>
      <c r="V176" s="364" t="s">
        <v>25</v>
      </c>
      <c r="W176" s="362" t="s">
        <v>569</v>
      </c>
      <c r="X176" s="363" t="s">
        <v>571</v>
      </c>
      <c r="Y176" s="332" t="s">
        <v>63</v>
      </c>
      <c r="Z176" s="190"/>
    </row>
    <row r="177" spans="1:34" s="328" customFormat="1" ht="26.25" outlineLevel="3" thickBot="1">
      <c r="A177" s="359"/>
      <c r="B177" s="327"/>
      <c r="D177" s="329" t="s">
        <v>568</v>
      </c>
      <c r="E177" s="329"/>
      <c r="F177" s="329"/>
      <c r="G177" s="58"/>
      <c r="H177" s="107"/>
      <c r="I177" s="329"/>
      <c r="J177" s="67"/>
      <c r="N177" s="360">
        <v>1.4E-3</v>
      </c>
      <c r="O177" s="361">
        <v>0</v>
      </c>
      <c r="P177" s="125"/>
      <c r="Q177" s="125" t="str">
        <f t="shared" si="33"/>
        <v>N/A</v>
      </c>
      <c r="R177" s="322"/>
      <c r="S177" s="322" t="s">
        <v>575</v>
      </c>
      <c r="T177" s="126" t="s">
        <v>168</v>
      </c>
      <c r="U177" s="333"/>
      <c r="V177" s="364" t="s">
        <v>25</v>
      </c>
      <c r="W177" s="362" t="s">
        <v>569</v>
      </c>
      <c r="X177" s="363" t="s">
        <v>571</v>
      </c>
      <c r="Y177" s="332" t="s">
        <v>63</v>
      </c>
      <c r="Z177" s="190"/>
    </row>
    <row r="178" spans="1:34" ht="13.5" outlineLevel="3" thickBot="1">
      <c r="B178" s="43"/>
      <c r="C178" s="43"/>
      <c r="D178" s="43"/>
      <c r="E178" s="66"/>
      <c r="F178" s="329"/>
      <c r="G178" s="67"/>
      <c r="H178" s="66"/>
      <c r="I178" s="329"/>
      <c r="J178" s="67"/>
      <c r="K178" s="66"/>
      <c r="L178" s="329"/>
      <c r="M178" s="66"/>
      <c r="N178" s="66"/>
      <c r="O178" s="66"/>
      <c r="P178" s="335"/>
      <c r="Q178" s="78"/>
      <c r="R178" s="88"/>
      <c r="S178" s="88"/>
      <c r="T178" s="88"/>
      <c r="U178" s="81"/>
      <c r="V178" s="81"/>
      <c r="W178" s="80"/>
      <c r="X178" s="87"/>
      <c r="Y178" s="80"/>
      <c r="Z178" s="285"/>
      <c r="AH178" s="71"/>
    </row>
    <row r="179" spans="1:34" ht="13.5" outlineLevel="2" thickBot="1">
      <c r="B179" s="43"/>
      <c r="C179" s="54" t="s">
        <v>67</v>
      </c>
      <c r="D179" s="54"/>
      <c r="E179" s="54"/>
      <c r="F179" s="327"/>
      <c r="G179" s="58"/>
      <c r="H179" s="66"/>
      <c r="I179" s="329"/>
      <c r="J179" s="112"/>
      <c r="K179" s="113">
        <f>SQRT(SUMSQ(N180:N183))</f>
        <v>8.7749643873921215E-3</v>
      </c>
      <c r="L179" s="355"/>
      <c r="M179" s="53">
        <f>SQRT(SUMSQ(O180:O183))</f>
        <v>7.3484692283495344E-3</v>
      </c>
      <c r="N179" s="66"/>
      <c r="O179" s="66"/>
      <c r="P179" s="59" t="str">
        <f t="shared" ref="P179" si="34">IF(L179&gt;0,K179/L179-1,"N/A")</f>
        <v>N/A</v>
      </c>
      <c r="Q179" s="84">
        <f>IF(M179&gt;0,K179/M179-1,"N/A")</f>
        <v>0.19412140334470429</v>
      </c>
      <c r="R179" s="121"/>
      <c r="S179" s="121"/>
      <c r="T179" s="122"/>
      <c r="U179" s="86"/>
      <c r="V179" s="86" t="s">
        <v>411</v>
      </c>
      <c r="W179" s="85" t="s">
        <v>445</v>
      </c>
      <c r="X179" s="182" t="s">
        <v>476</v>
      </c>
      <c r="Y179" s="85"/>
      <c r="Z179" s="286"/>
      <c r="AH179" s="71"/>
    </row>
    <row r="180" spans="1:34" ht="13.5" outlineLevel="3" thickBot="1">
      <c r="C180" s="43"/>
      <c r="D180" s="43" t="s">
        <v>68</v>
      </c>
      <c r="E180" s="66"/>
      <c r="F180" s="329"/>
      <c r="G180" s="67"/>
      <c r="H180" s="107"/>
      <c r="I180" s="107"/>
      <c r="J180" s="112"/>
      <c r="K180" s="66"/>
      <c r="L180" s="329"/>
      <c r="M180" s="66"/>
      <c r="N180" s="52">
        <v>8.0000000000000002E-3</v>
      </c>
      <c r="O180" s="124">
        <v>7.0000000000000001E-3</v>
      </c>
      <c r="P180" s="340"/>
      <c r="Q180" s="135">
        <f>IF(O180&gt;0,N180/O180-1,"N/A")</f>
        <v>0.14285714285714279</v>
      </c>
      <c r="R180" s="115"/>
      <c r="S180" s="115"/>
      <c r="T180" s="188" t="s">
        <v>170</v>
      </c>
      <c r="U180" s="63"/>
      <c r="V180" s="63" t="s">
        <v>21</v>
      </c>
      <c r="W180" s="70"/>
      <c r="X180" s="181"/>
      <c r="Y180" s="70"/>
      <c r="Z180" s="288"/>
    </row>
    <row r="181" spans="1:34" ht="26.25" outlineLevel="3" thickBot="1">
      <c r="C181" s="43"/>
      <c r="D181" s="43" t="s">
        <v>69</v>
      </c>
      <c r="E181" s="66"/>
      <c r="F181" s="329"/>
      <c r="G181" s="67"/>
      <c r="H181" s="107"/>
      <c r="I181" s="107"/>
      <c r="J181" s="112"/>
      <c r="K181" s="66"/>
      <c r="L181" s="329"/>
      <c r="M181" s="66"/>
      <c r="N181" s="52">
        <v>0</v>
      </c>
      <c r="O181" s="124">
        <v>0</v>
      </c>
      <c r="P181" s="125"/>
      <c r="Q181" s="125" t="str">
        <f>IF(O181&gt;0,N181/O181-1,"N/A")</f>
        <v>N/A</v>
      </c>
      <c r="R181" s="140"/>
      <c r="S181" s="322" t="s">
        <v>282</v>
      </c>
      <c r="T181" s="123"/>
      <c r="U181" s="63"/>
      <c r="V181" s="63" t="s">
        <v>21</v>
      </c>
      <c r="W181" s="70"/>
      <c r="X181" s="183"/>
      <c r="Y181" s="70" t="s">
        <v>63</v>
      </c>
      <c r="Z181" s="283" t="s">
        <v>70</v>
      </c>
      <c r="AH181" s="71"/>
    </row>
    <row r="182" spans="1:34" ht="26.25" outlineLevel="3" thickBot="1">
      <c r="C182" s="43"/>
      <c r="D182" s="34" t="s">
        <v>71</v>
      </c>
      <c r="E182" s="54"/>
      <c r="F182" s="327"/>
      <c r="G182" s="58"/>
      <c r="H182" s="107"/>
      <c r="I182" s="107"/>
      <c r="J182" s="112"/>
      <c r="K182" s="54"/>
      <c r="L182" s="327"/>
      <c r="M182" s="54"/>
      <c r="N182" s="52">
        <v>2E-3</v>
      </c>
      <c r="O182" s="124">
        <v>1E-3</v>
      </c>
      <c r="P182" s="340"/>
      <c r="Q182" s="135">
        <f>IF(O182&gt;0,N182/O182-1,"N/A")</f>
        <v>1</v>
      </c>
      <c r="R182" s="140"/>
      <c r="S182" s="322" t="s">
        <v>283</v>
      </c>
      <c r="T182" s="123"/>
      <c r="U182" s="63"/>
      <c r="V182" s="63" t="s">
        <v>21</v>
      </c>
      <c r="W182" s="70"/>
      <c r="X182" s="183"/>
      <c r="Y182" s="70" t="s">
        <v>63</v>
      </c>
      <c r="Z182" s="288" t="s">
        <v>72</v>
      </c>
      <c r="AH182" s="71"/>
    </row>
    <row r="183" spans="1:34" ht="26.25" outlineLevel="3" thickBot="1">
      <c r="C183" s="43"/>
      <c r="D183" s="34" t="s">
        <v>73</v>
      </c>
      <c r="E183" s="54"/>
      <c r="F183" s="327"/>
      <c r="G183" s="58"/>
      <c r="H183" s="107"/>
      <c r="I183" s="107"/>
      <c r="J183" s="112"/>
      <c r="K183" s="54"/>
      <c r="L183" s="327"/>
      <c r="M183" s="54"/>
      <c r="N183" s="52">
        <v>3.0000000000000001E-3</v>
      </c>
      <c r="O183" s="124">
        <v>2E-3</v>
      </c>
      <c r="P183" s="125"/>
      <c r="Q183" s="125">
        <f>IF(O183&gt;0,N183/O183-1,"N/A")</f>
        <v>0.5</v>
      </c>
      <c r="R183" s="140"/>
      <c r="S183" s="322" t="s">
        <v>284</v>
      </c>
      <c r="T183" s="126" t="s">
        <v>203</v>
      </c>
      <c r="U183" s="75"/>
      <c r="V183" s="75" t="s">
        <v>23</v>
      </c>
      <c r="W183" s="74"/>
      <c r="X183" s="183"/>
      <c r="Y183" s="74" t="s">
        <v>63</v>
      </c>
      <c r="Z183" s="289"/>
      <c r="AH183" s="71"/>
    </row>
    <row r="184" spans="1:34" ht="13.5" outlineLevel="3" thickBot="1">
      <c r="B184" s="43"/>
      <c r="C184" s="43"/>
      <c r="D184" s="43"/>
      <c r="E184" s="66"/>
      <c r="F184" s="329"/>
      <c r="G184" s="67"/>
      <c r="H184" s="66"/>
      <c r="I184" s="329"/>
      <c r="J184" s="67"/>
      <c r="K184" s="66"/>
      <c r="L184" s="329"/>
      <c r="M184" s="66"/>
      <c r="N184" s="66"/>
      <c r="O184" s="66"/>
      <c r="P184" s="335"/>
      <c r="Q184" s="78"/>
      <c r="R184" s="88"/>
      <c r="S184" s="88"/>
      <c r="T184" s="88"/>
      <c r="U184" s="81"/>
      <c r="V184" s="81"/>
      <c r="W184" s="80"/>
      <c r="X184" s="87"/>
      <c r="Y184" s="80"/>
      <c r="Z184" s="285"/>
      <c r="AH184" s="71"/>
    </row>
    <row r="185" spans="1:34" ht="13.5" outlineLevel="2" thickBot="1">
      <c r="B185" s="43"/>
      <c r="C185" s="54" t="s">
        <v>74</v>
      </c>
      <c r="D185" s="54"/>
      <c r="E185" s="54"/>
      <c r="F185" s="327"/>
      <c r="G185" s="58"/>
      <c r="H185" s="66"/>
      <c r="I185" s="329"/>
      <c r="J185" s="112"/>
      <c r="K185" s="113">
        <f>SQRT(SUMSQ(N186:N191))</f>
        <v>4.1231056256176603E-3</v>
      </c>
      <c r="L185" s="355"/>
      <c r="M185" s="53">
        <f>SQRT(SUMSQ(O186:O191))</f>
        <v>2.3446974634694345E-3</v>
      </c>
      <c r="N185" s="66"/>
      <c r="O185" s="66"/>
      <c r="P185" s="59" t="str">
        <f t="shared" ref="P185" si="35">IF(L185&gt;0,K185/L185-1,"N/A")</f>
        <v>N/A</v>
      </c>
      <c r="Q185" s="59">
        <f>IF(M185&gt;0,K185/M185-1,"N/A")</f>
        <v>0.75848086580719287</v>
      </c>
      <c r="R185" s="141"/>
      <c r="S185" s="141"/>
      <c r="T185" s="141"/>
      <c r="U185" s="269"/>
      <c r="V185" s="86"/>
      <c r="W185" s="85"/>
      <c r="X185" s="182"/>
      <c r="Y185" s="85"/>
      <c r="Z185" s="286"/>
      <c r="AH185" s="71"/>
    </row>
    <row r="186" spans="1:34" s="65" customFormat="1" ht="26.25" outlineLevel="3" thickBot="1">
      <c r="C186" s="54"/>
      <c r="D186" s="34" t="s">
        <v>325</v>
      </c>
      <c r="E186" s="54"/>
      <c r="F186" s="327"/>
      <c r="G186" s="58"/>
      <c r="I186" s="328"/>
      <c r="K186" s="54"/>
      <c r="L186" s="327"/>
      <c r="M186" s="54"/>
      <c r="N186" s="52">
        <v>2E-3</v>
      </c>
      <c r="O186" s="356">
        <f>0.5*0.288*0.0098</f>
        <v>1.4111999999999998E-3</v>
      </c>
      <c r="P186" s="59"/>
      <c r="Q186" s="59">
        <f t="shared" ref="Q186:Q191" si="36">IF(O186&gt;0,N186/O186-1,"N/A")</f>
        <v>0.41723356009070312</v>
      </c>
      <c r="R186" s="141"/>
      <c r="S186" s="141" t="s">
        <v>285</v>
      </c>
      <c r="T186" s="191" t="s">
        <v>176</v>
      </c>
      <c r="U186" s="270"/>
      <c r="V186" s="63" t="s">
        <v>28</v>
      </c>
      <c r="W186" s="70"/>
      <c r="X186" s="62"/>
      <c r="Y186" s="70" t="s">
        <v>63</v>
      </c>
      <c r="Z186" s="288" t="s">
        <v>75</v>
      </c>
      <c r="AA186" s="46"/>
      <c r="AH186" s="143"/>
    </row>
    <row r="187" spans="1:34" s="65" customFormat="1" ht="26.25" outlineLevel="3" thickBot="1">
      <c r="C187" s="54"/>
      <c r="D187" s="34" t="s">
        <v>76</v>
      </c>
      <c r="E187" s="54"/>
      <c r="F187" s="327"/>
      <c r="G187" s="58"/>
      <c r="I187" s="328"/>
      <c r="K187" s="54"/>
      <c r="L187" s="327"/>
      <c r="M187" s="54"/>
      <c r="N187" s="52">
        <v>0</v>
      </c>
      <c r="O187" s="356">
        <v>0</v>
      </c>
      <c r="P187" s="59"/>
      <c r="Q187" s="59" t="str">
        <f t="shared" si="36"/>
        <v>N/A</v>
      </c>
      <c r="R187" s="141"/>
      <c r="S187" s="141" t="s">
        <v>286</v>
      </c>
      <c r="T187" s="191"/>
      <c r="U187" s="270"/>
      <c r="V187" s="63" t="s">
        <v>28</v>
      </c>
      <c r="W187" s="70"/>
      <c r="X187" s="62"/>
      <c r="Y187" s="70" t="s">
        <v>63</v>
      </c>
      <c r="Z187" s="288" t="s">
        <v>77</v>
      </c>
      <c r="AA187" s="46"/>
      <c r="AH187" s="143"/>
    </row>
    <row r="188" spans="1:34" s="65" customFormat="1" ht="26.25" outlineLevel="3" thickBot="1">
      <c r="C188" s="54"/>
      <c r="D188" s="34" t="s">
        <v>78</v>
      </c>
      <c r="E188" s="54"/>
      <c r="F188" s="327"/>
      <c r="G188" s="58"/>
      <c r="I188" s="328"/>
      <c r="K188" s="54"/>
      <c r="L188" s="327"/>
      <c r="M188" s="54"/>
      <c r="N188" s="52">
        <v>1E-3</v>
      </c>
      <c r="O188" s="356">
        <f>0*0.08/10</f>
        <v>0</v>
      </c>
      <c r="P188" s="59"/>
      <c r="Q188" s="59" t="str">
        <f t="shared" si="36"/>
        <v>N/A</v>
      </c>
      <c r="R188" s="141"/>
      <c r="S188" s="141" t="s">
        <v>286</v>
      </c>
      <c r="T188" s="191"/>
      <c r="U188" s="270"/>
      <c r="V188" s="63" t="s">
        <v>28</v>
      </c>
      <c r="W188" s="70"/>
      <c r="X188" s="62"/>
      <c r="Y188" s="70" t="s">
        <v>63</v>
      </c>
      <c r="Z188" s="288" t="s">
        <v>79</v>
      </c>
      <c r="AA188" s="46"/>
      <c r="AH188" s="143"/>
    </row>
    <row r="189" spans="1:34" s="65" customFormat="1" ht="26.25" outlineLevel="3" thickBot="1">
      <c r="C189" s="54"/>
      <c r="D189" s="34" t="s">
        <v>80</v>
      </c>
      <c r="E189" s="54"/>
      <c r="F189" s="327"/>
      <c r="G189" s="58"/>
      <c r="I189" s="328"/>
      <c r="K189" s="54"/>
      <c r="L189" s="327"/>
      <c r="M189" s="54"/>
      <c r="N189" s="52">
        <v>2E-3</v>
      </c>
      <c r="O189" s="356">
        <f>0.296*0.3*0.0098</f>
        <v>8.7023999999999988E-4</v>
      </c>
      <c r="P189" s="59"/>
      <c r="Q189" s="59">
        <f t="shared" si="36"/>
        <v>1.2982165839308699</v>
      </c>
      <c r="R189" s="141"/>
      <c r="S189" s="141" t="s">
        <v>287</v>
      </c>
      <c r="T189" s="191" t="s">
        <v>177</v>
      </c>
      <c r="U189" s="270"/>
      <c r="V189" s="63" t="s">
        <v>51</v>
      </c>
      <c r="W189" s="70"/>
      <c r="X189" s="62"/>
      <c r="Y189" s="70" t="s">
        <v>63</v>
      </c>
      <c r="Z189" s="288" t="s">
        <v>81</v>
      </c>
      <c r="AA189" s="46"/>
      <c r="AH189" s="143"/>
    </row>
    <row r="190" spans="1:34" s="65" customFormat="1" ht="26.25" outlineLevel="3" thickBot="1">
      <c r="C190" s="54"/>
      <c r="D190" s="34" t="s">
        <v>84</v>
      </c>
      <c r="E190" s="54"/>
      <c r="F190" s="327"/>
      <c r="G190" s="58"/>
      <c r="I190" s="328"/>
      <c r="K190" s="54"/>
      <c r="L190" s="327"/>
      <c r="M190" s="54"/>
      <c r="N190" s="52">
        <v>2E-3</v>
      </c>
      <c r="O190" s="356">
        <f>0.296*0.3*0.0098</f>
        <v>8.7023999999999988E-4</v>
      </c>
      <c r="P190" s="59"/>
      <c r="Q190" s="59">
        <f t="shared" si="36"/>
        <v>1.2982165839308699</v>
      </c>
      <c r="R190" s="141"/>
      <c r="S190" s="141" t="s">
        <v>288</v>
      </c>
      <c r="T190" s="191" t="s">
        <v>177</v>
      </c>
      <c r="U190" s="270"/>
      <c r="V190" s="63" t="s">
        <v>51</v>
      </c>
      <c r="W190" s="70"/>
      <c r="X190" s="62"/>
      <c r="Y190" s="70" t="s">
        <v>85</v>
      </c>
      <c r="Z190" s="288" t="s">
        <v>86</v>
      </c>
      <c r="AA190" s="46"/>
      <c r="AH190" s="143"/>
    </row>
    <row r="191" spans="1:34" s="65" customFormat="1" ht="26.25" outlineLevel="3" thickBot="1">
      <c r="C191" s="54"/>
      <c r="D191" s="34" t="s">
        <v>87</v>
      </c>
      <c r="E191" s="54"/>
      <c r="F191" s="327"/>
      <c r="G191" s="58"/>
      <c r="I191" s="328"/>
      <c r="K191" s="54"/>
      <c r="L191" s="327"/>
      <c r="M191" s="54"/>
      <c r="N191" s="52">
        <v>2E-3</v>
      </c>
      <c r="O191" s="356">
        <f>0.288*0.5*0.0098</f>
        <v>1.4111999999999998E-3</v>
      </c>
      <c r="P191" s="59"/>
      <c r="Q191" s="59">
        <f t="shared" si="36"/>
        <v>0.41723356009070312</v>
      </c>
      <c r="R191" s="141"/>
      <c r="S191" s="141" t="s">
        <v>289</v>
      </c>
      <c r="T191" s="141" t="s">
        <v>178</v>
      </c>
      <c r="U191" s="270"/>
      <c r="V191" s="63" t="s">
        <v>51</v>
      </c>
      <c r="W191" s="70"/>
      <c r="X191" s="62"/>
      <c r="Y191" s="70" t="s">
        <v>85</v>
      </c>
      <c r="Z191" s="288" t="s">
        <v>88</v>
      </c>
      <c r="AA191" s="46"/>
      <c r="AH191" s="143"/>
    </row>
    <row r="192" spans="1:34" ht="13.5" outlineLevel="3" thickBot="1">
      <c r="B192" s="43"/>
      <c r="C192" s="43"/>
      <c r="D192" s="43"/>
      <c r="E192" s="66"/>
      <c r="F192" s="329"/>
      <c r="G192" s="67"/>
      <c r="H192" s="66"/>
      <c r="I192" s="329"/>
      <c r="J192" s="66"/>
      <c r="K192" s="66"/>
      <c r="L192" s="329"/>
      <c r="M192" s="66"/>
      <c r="N192" s="66"/>
      <c r="O192" s="66"/>
      <c r="P192" s="100"/>
      <c r="Q192" s="100"/>
      <c r="R192" s="101"/>
      <c r="S192" s="101"/>
      <c r="T192" s="101"/>
      <c r="U192" s="102"/>
      <c r="V192" s="102"/>
      <c r="W192" s="103"/>
      <c r="X192" s="104"/>
      <c r="Y192" s="103"/>
      <c r="Z192" s="297"/>
      <c r="AH192" s="71"/>
    </row>
    <row r="193" spans="2:34" ht="39" outlineLevel="1" thickBot="1">
      <c r="B193" s="228" t="s">
        <v>94</v>
      </c>
      <c r="C193" s="43"/>
      <c r="D193" s="43"/>
      <c r="E193" s="66"/>
      <c r="F193" s="329"/>
      <c r="G193" s="67"/>
      <c r="H193" s="113">
        <v>0.01</v>
      </c>
      <c r="I193" s="355">
        <f>J193</f>
        <v>4.0000000000000001E-3</v>
      </c>
      <c r="J193" s="53">
        <v>4.0000000000000001E-3</v>
      </c>
      <c r="K193" s="66" t="s">
        <v>95</v>
      </c>
      <c r="L193" s="329"/>
      <c r="M193" s="66"/>
      <c r="N193" s="66"/>
      <c r="O193" s="66"/>
      <c r="P193" s="114">
        <f>IF(I193&gt;0,H193/I193-1,"N/A")</f>
        <v>1.5</v>
      </c>
      <c r="Q193" s="59">
        <f>IF(J193&gt;0,H193/J193-1,"N/A")</f>
        <v>1.5</v>
      </c>
      <c r="R193" s="358" t="s">
        <v>531</v>
      </c>
      <c r="S193" s="357" t="s">
        <v>313</v>
      </c>
      <c r="T193" s="141" t="s">
        <v>222</v>
      </c>
      <c r="U193" s="236"/>
      <c r="V193" s="236"/>
      <c r="W193" s="237"/>
      <c r="X193" s="238"/>
      <c r="Y193" s="237" t="s">
        <v>63</v>
      </c>
      <c r="Z193" s="291"/>
      <c r="AB193" s="65"/>
      <c r="AH193" s="71"/>
    </row>
    <row r="194" spans="2:34" ht="39" outlineLevel="2" thickBot="1">
      <c r="C194" s="54" t="s">
        <v>223</v>
      </c>
      <c r="D194" s="54"/>
      <c r="E194" s="54"/>
      <c r="F194" s="327"/>
      <c r="G194" s="66"/>
      <c r="H194" s="107"/>
      <c r="I194" s="107"/>
      <c r="J194" s="112"/>
      <c r="K194" s="113" t="s">
        <v>96</v>
      </c>
      <c r="L194" s="355"/>
      <c r="M194" s="53">
        <v>2E-3</v>
      </c>
      <c r="N194" s="54"/>
      <c r="O194" s="54"/>
      <c r="P194" s="59" t="str">
        <f t="shared" ref="P194:P196" si="37">IF(L194&gt;0,K194/L194-1,"N/A")</f>
        <v>N/A</v>
      </c>
      <c r="Q194" s="253" t="s">
        <v>96</v>
      </c>
      <c r="R194" s="141"/>
      <c r="S194" s="142" t="s">
        <v>314</v>
      </c>
      <c r="T194" s="189" t="s">
        <v>222</v>
      </c>
      <c r="U194" s="241"/>
      <c r="V194" s="241" t="s">
        <v>466</v>
      </c>
      <c r="W194" s="156" t="s">
        <v>462</v>
      </c>
      <c r="X194" s="296" t="s">
        <v>477</v>
      </c>
      <c r="Y194" s="156" t="s">
        <v>63</v>
      </c>
      <c r="Z194" s="296"/>
      <c r="AH194" s="71"/>
    </row>
    <row r="195" spans="2:34" ht="39" outlineLevel="2" thickBot="1">
      <c r="C195" s="54" t="s">
        <v>226</v>
      </c>
      <c r="D195" s="54"/>
      <c r="E195" s="54"/>
      <c r="F195" s="327"/>
      <c r="G195" s="54"/>
      <c r="H195" s="107"/>
      <c r="I195" s="107"/>
      <c r="J195" s="112"/>
      <c r="K195" s="113" t="s">
        <v>96</v>
      </c>
      <c r="L195" s="355"/>
      <c r="M195" s="53">
        <v>2E-3</v>
      </c>
      <c r="N195" s="54"/>
      <c r="O195" s="54"/>
      <c r="P195" s="59" t="str">
        <f t="shared" si="37"/>
        <v>N/A</v>
      </c>
      <c r="Q195" s="114" t="s">
        <v>96</v>
      </c>
      <c r="R195" s="141"/>
      <c r="S195" s="141" t="s">
        <v>314</v>
      </c>
      <c r="T195" s="141" t="s">
        <v>222</v>
      </c>
      <c r="U195" s="236"/>
      <c r="V195" s="236" t="s">
        <v>227</v>
      </c>
      <c r="W195" s="237"/>
      <c r="X195" s="238"/>
      <c r="Y195" s="237" t="s">
        <v>63</v>
      </c>
      <c r="Z195" s="292"/>
      <c r="AH195" s="71"/>
    </row>
    <row r="196" spans="2:34" ht="13.5" outlineLevel="2" thickBot="1">
      <c r="C196" s="54" t="s">
        <v>74</v>
      </c>
      <c r="D196" s="54"/>
      <c r="E196" s="54"/>
      <c r="F196" s="327"/>
      <c r="G196" s="54"/>
      <c r="H196" s="107"/>
      <c r="I196" s="107"/>
      <c r="J196" s="112"/>
      <c r="K196" s="113" t="s">
        <v>96</v>
      </c>
      <c r="L196" s="355"/>
      <c r="M196" s="53" t="s">
        <v>96</v>
      </c>
      <c r="N196" s="54"/>
      <c r="O196" s="54"/>
      <c r="P196" s="59" t="str">
        <f t="shared" si="37"/>
        <v>N/A</v>
      </c>
      <c r="Q196" s="114" t="s">
        <v>96</v>
      </c>
      <c r="R196" s="152"/>
      <c r="S196" s="152"/>
      <c r="T196" s="152"/>
      <c r="U196" s="235"/>
      <c r="V196" s="236"/>
      <c r="W196" s="238"/>
      <c r="X196" s="238"/>
      <c r="Y196" s="238"/>
      <c r="Z196" s="292"/>
      <c r="AH196" s="71"/>
    </row>
    <row r="197" spans="2:34" ht="26.25" outlineLevel="3" thickBot="1">
      <c r="C197" s="54"/>
      <c r="D197" s="54" t="s">
        <v>308</v>
      </c>
      <c r="E197" s="54"/>
      <c r="F197" s="327"/>
      <c r="G197" s="54"/>
      <c r="K197" s="31"/>
      <c r="L197" s="31"/>
      <c r="M197" s="31"/>
      <c r="N197" s="52"/>
      <c r="O197" s="252">
        <v>0</v>
      </c>
      <c r="P197" s="114"/>
      <c r="Q197" s="114" t="s">
        <v>96</v>
      </c>
      <c r="R197" s="141"/>
      <c r="S197" s="141" t="s">
        <v>290</v>
      </c>
      <c r="T197" s="141"/>
      <c r="U197" s="236"/>
      <c r="V197" s="236" t="s">
        <v>56</v>
      </c>
      <c r="W197" s="237"/>
      <c r="X197" s="238"/>
      <c r="Y197" s="237" t="s">
        <v>85</v>
      </c>
      <c r="Z197" s="292"/>
      <c r="AH197" s="71"/>
    </row>
    <row r="198" spans="2:34" ht="13.5" outlineLevel="3" thickBot="1">
      <c r="C198" s="54"/>
      <c r="D198" s="54" t="s">
        <v>307</v>
      </c>
      <c r="E198" s="54"/>
      <c r="F198" s="327"/>
      <c r="G198" s="54"/>
      <c r="K198" s="31"/>
      <c r="L198" s="31"/>
      <c r="M198" s="31"/>
      <c r="N198" s="52"/>
      <c r="O198" s="145">
        <v>0</v>
      </c>
      <c r="P198" s="144"/>
      <c r="Q198" s="144" t="s">
        <v>96</v>
      </c>
      <c r="R198" s="121"/>
      <c r="S198" s="121" t="s">
        <v>291</v>
      </c>
      <c r="T198" s="131"/>
      <c r="U198" s="86"/>
      <c r="V198" s="86" t="s">
        <v>56</v>
      </c>
      <c r="W198" s="85"/>
      <c r="X198" s="99"/>
      <c r="Y198" s="85" t="s">
        <v>85</v>
      </c>
      <c r="Z198" s="98"/>
      <c r="AH198" s="71"/>
    </row>
    <row r="199" spans="2:34" ht="26.25" outlineLevel="3" thickBot="1">
      <c r="C199" s="54"/>
      <c r="D199" s="54" t="s">
        <v>309</v>
      </c>
      <c r="E199" s="54"/>
      <c r="F199" s="327"/>
      <c r="G199" s="54"/>
      <c r="K199" s="31"/>
      <c r="L199" s="31"/>
      <c r="M199" s="31"/>
      <c r="N199" s="52"/>
      <c r="O199" s="145">
        <v>1.6E-2</v>
      </c>
      <c r="P199" s="144"/>
      <c r="Q199" s="144" t="s">
        <v>96</v>
      </c>
      <c r="R199" s="146"/>
      <c r="S199" s="146" t="s">
        <v>292</v>
      </c>
      <c r="T199" s="147"/>
      <c r="U199" s="128"/>
      <c r="V199" s="128" t="s">
        <v>56</v>
      </c>
      <c r="W199" s="129"/>
      <c r="X199" s="136"/>
      <c r="Y199" s="129" t="s">
        <v>85</v>
      </c>
      <c r="Z199" s="298"/>
      <c r="AH199" s="71"/>
    </row>
    <row r="200" spans="2:34" ht="13.5" outlineLevel="3" thickBot="1">
      <c r="C200" s="54"/>
      <c r="D200" s="54"/>
      <c r="E200" s="54"/>
      <c r="F200" s="327"/>
      <c r="G200" s="54"/>
      <c r="K200" s="31"/>
      <c r="L200" s="31"/>
      <c r="M200" s="31"/>
      <c r="N200" s="31"/>
      <c r="O200" s="148"/>
      <c r="P200" s="33"/>
      <c r="Q200" s="33"/>
      <c r="R200" s="106"/>
      <c r="S200" s="106"/>
      <c r="T200" s="106"/>
      <c r="U200" s="34"/>
      <c r="V200" s="34"/>
      <c r="W200" s="107"/>
      <c r="X200" s="32"/>
      <c r="Y200" s="107"/>
      <c r="Z200" s="229"/>
      <c r="AH200" s="71"/>
    </row>
    <row r="201" spans="2:34" ht="13.5" thickBot="1">
      <c r="B201" s="56" t="s">
        <v>97</v>
      </c>
      <c r="C201" s="56"/>
      <c r="D201" s="56"/>
      <c r="E201" s="40">
        <f>SQRT(SUMSQ(H202,H209))</f>
        <v>3.4449238017697864E-2</v>
      </c>
      <c r="F201" s="354">
        <f>SQRT(SUMSQ(I202,I209))</f>
        <v>3.0577769702841314E-2</v>
      </c>
      <c r="G201" s="41">
        <f>SQRT(SUMSQ(J202,J209))</f>
        <v>3.0577769702841314E-2</v>
      </c>
      <c r="H201" s="57"/>
      <c r="I201" s="57"/>
      <c r="J201" s="57"/>
      <c r="K201" s="57"/>
      <c r="L201" s="57"/>
      <c r="M201" s="57"/>
      <c r="N201" s="57"/>
      <c r="O201" s="57"/>
      <c r="P201" s="262">
        <f>E201/F201-1</f>
        <v>0.12661055245297392</v>
      </c>
      <c r="Q201" s="246">
        <f>E201/G201-1</f>
        <v>0.12661055245297392</v>
      </c>
      <c r="R201" s="247"/>
      <c r="S201" s="247"/>
      <c r="T201" s="248"/>
      <c r="U201" s="249"/>
      <c r="V201" s="249" t="s">
        <v>449</v>
      </c>
      <c r="W201" s="254" t="s">
        <v>443</v>
      </c>
      <c r="X201" s="255" t="s">
        <v>479</v>
      </c>
      <c r="Y201" s="254"/>
      <c r="Z201" s="299"/>
      <c r="AH201" s="71"/>
    </row>
    <row r="202" spans="2:34" ht="13.5" outlineLevel="1" thickBot="1">
      <c r="B202" s="47" t="s">
        <v>98</v>
      </c>
      <c r="C202" s="54"/>
      <c r="D202" s="54"/>
      <c r="E202" s="54"/>
      <c r="F202" s="327"/>
      <c r="G202" s="58"/>
      <c r="H202" s="52">
        <f>SQRT(SUMSQ(K203:K207))</f>
        <v>1.4949916387726053E-2</v>
      </c>
      <c r="I202" s="355">
        <f>J202</f>
        <v>1.2609520212918491E-2</v>
      </c>
      <c r="J202" s="53">
        <f>SQRT(SUMSQ(M203:M207))</f>
        <v>1.2609520212918491E-2</v>
      </c>
      <c r="K202" s="54"/>
      <c r="L202" s="327"/>
      <c r="M202" s="54"/>
      <c r="N202" s="54"/>
      <c r="O202" s="54"/>
      <c r="P202" s="84">
        <f>IF(I202&gt;0,H202/I202-1,"N/A")</f>
        <v>0.18560548976398161</v>
      </c>
      <c r="Q202" s="84">
        <f>IF(J202&gt;0,H202/J202-1,"N/A")</f>
        <v>0.18560548976398161</v>
      </c>
      <c r="R202" s="169" t="s">
        <v>531</v>
      </c>
      <c r="S202" s="97"/>
      <c r="T202" s="131"/>
      <c r="U202" s="132"/>
      <c r="V202" s="86"/>
      <c r="W202" s="99"/>
      <c r="X202" s="99"/>
      <c r="Y202" s="99"/>
      <c r="Z202" s="98"/>
      <c r="AH202" s="71"/>
    </row>
    <row r="203" spans="2:34" ht="26.25" outlineLevel="2" thickBot="1">
      <c r="B203" s="43"/>
      <c r="C203" s="149" t="s">
        <v>190</v>
      </c>
      <c r="D203" s="34"/>
      <c r="E203" s="54"/>
      <c r="F203" s="327"/>
      <c r="G203" s="58"/>
      <c r="H203" s="54"/>
      <c r="I203" s="327"/>
      <c r="J203" s="54"/>
      <c r="K203" s="52">
        <v>0</v>
      </c>
      <c r="L203" s="355"/>
      <c r="M203" s="53">
        <v>0</v>
      </c>
      <c r="N203" s="54"/>
      <c r="O203" s="54"/>
      <c r="P203" s="59" t="str">
        <f t="shared" ref="P203:P207" si="38">IF(L203&gt;0,K203/L203-1,"N/A")</f>
        <v>N/A</v>
      </c>
      <c r="Q203" s="59" t="str">
        <f>IF(M203&gt;0,K203/M203-1,"N/A")</f>
        <v>N/A</v>
      </c>
      <c r="R203" s="150"/>
      <c r="S203" s="150" t="s">
        <v>293</v>
      </c>
      <c r="T203" s="123" t="s">
        <v>187</v>
      </c>
      <c r="U203" s="63"/>
      <c r="V203" s="63" t="s">
        <v>13</v>
      </c>
      <c r="W203" s="64"/>
      <c r="X203" s="181"/>
      <c r="Y203" s="64" t="s">
        <v>106</v>
      </c>
      <c r="Z203" s="288" t="s">
        <v>101</v>
      </c>
    </row>
    <row r="204" spans="2:34" ht="13.5" outlineLevel="2" thickBot="1">
      <c r="B204" s="43"/>
      <c r="C204" s="34" t="s">
        <v>99</v>
      </c>
      <c r="D204" s="34"/>
      <c r="E204" s="54"/>
      <c r="F204" s="327"/>
      <c r="G204" s="58"/>
      <c r="H204" s="54"/>
      <c r="I204" s="327"/>
      <c r="J204" s="54"/>
      <c r="K204" s="52">
        <v>3.5000000000000001E-3</v>
      </c>
      <c r="L204" s="355"/>
      <c r="M204" s="53">
        <v>3.0000000000000001E-3</v>
      </c>
      <c r="N204" s="54"/>
      <c r="O204" s="54"/>
      <c r="P204" s="59" t="str">
        <f t="shared" si="38"/>
        <v>N/A</v>
      </c>
      <c r="Q204" s="59">
        <f>IF(M204&gt;0,K204/M204-1,"N/A")</f>
        <v>0.16666666666666674</v>
      </c>
      <c r="R204" s="60"/>
      <c r="S204" s="60" t="s">
        <v>294</v>
      </c>
      <c r="T204" s="123" t="s">
        <v>186</v>
      </c>
      <c r="U204" s="63"/>
      <c r="V204" s="63" t="s">
        <v>13</v>
      </c>
      <c r="W204" s="64"/>
      <c r="X204" s="181"/>
      <c r="Y204" s="64" t="s">
        <v>106</v>
      </c>
      <c r="Z204" s="288"/>
    </row>
    <row r="205" spans="2:34" ht="26.25" outlineLevel="2" thickBot="1">
      <c r="B205" s="43"/>
      <c r="C205" s="34" t="s">
        <v>102</v>
      </c>
      <c r="D205" s="34"/>
      <c r="E205" s="54"/>
      <c r="F205" s="327"/>
      <c r="G205" s="58"/>
      <c r="H205" s="54"/>
      <c r="I205" s="327"/>
      <c r="J205" s="54"/>
      <c r="K205" s="52">
        <v>1.2999999999999999E-2</v>
      </c>
      <c r="L205" s="355"/>
      <c r="M205" s="53">
        <v>1.0999999999999999E-2</v>
      </c>
      <c r="N205" s="54"/>
      <c r="O205" s="54"/>
      <c r="P205" s="59" t="str">
        <f t="shared" si="38"/>
        <v>N/A</v>
      </c>
      <c r="Q205" s="59">
        <f>IF(M205&gt;0,K205/M205-1,"N/A")</f>
        <v>0.18181818181818188</v>
      </c>
      <c r="R205" s="60"/>
      <c r="S205" s="60" t="s">
        <v>317</v>
      </c>
      <c r="T205" s="123" t="s">
        <v>186</v>
      </c>
      <c r="U205" s="63"/>
      <c r="V205" s="63" t="s">
        <v>13</v>
      </c>
      <c r="W205" s="70"/>
      <c r="X205" s="181"/>
      <c r="Y205" s="64" t="s">
        <v>100</v>
      </c>
      <c r="Z205" s="288" t="s">
        <v>103</v>
      </c>
    </row>
    <row r="206" spans="2:34" ht="13.5" outlineLevel="2" thickBot="1">
      <c r="B206" s="43"/>
      <c r="C206" s="43" t="s">
        <v>167</v>
      </c>
      <c r="D206" s="34"/>
      <c r="E206" s="54"/>
      <c r="F206" s="327"/>
      <c r="G206" s="58"/>
      <c r="H206" s="54"/>
      <c r="I206" s="327"/>
      <c r="J206" s="54"/>
      <c r="K206" s="52">
        <v>2.5000000000000001E-3</v>
      </c>
      <c r="L206" s="355"/>
      <c r="M206" s="53">
        <v>2E-3</v>
      </c>
      <c r="N206" s="54"/>
      <c r="O206" s="54"/>
      <c r="P206" s="59" t="str">
        <f t="shared" si="38"/>
        <v>N/A</v>
      </c>
      <c r="Q206" s="59">
        <f>IF(M206&gt;0,K206/M206-1,"N/A")</f>
        <v>0.25</v>
      </c>
      <c r="R206" s="60"/>
      <c r="S206" s="60" t="s">
        <v>295</v>
      </c>
      <c r="T206" s="123" t="s">
        <v>186</v>
      </c>
      <c r="U206" s="63"/>
      <c r="V206" s="63" t="s">
        <v>13</v>
      </c>
      <c r="W206" s="70"/>
      <c r="X206" s="181"/>
      <c r="Y206" s="64" t="s">
        <v>100</v>
      </c>
      <c r="Z206" s="288"/>
    </row>
    <row r="207" spans="2:34" ht="26.25" outlineLevel="2" thickBot="1">
      <c r="B207" s="43"/>
      <c r="C207" s="43" t="s">
        <v>169</v>
      </c>
      <c r="D207" s="34"/>
      <c r="E207" s="54"/>
      <c r="F207" s="327"/>
      <c r="G207" s="58"/>
      <c r="H207" s="54"/>
      <c r="I207" s="327"/>
      <c r="J207" s="54"/>
      <c r="K207" s="52">
        <v>6.0000000000000001E-3</v>
      </c>
      <c r="L207" s="355"/>
      <c r="M207" s="53">
        <v>5.0000000000000001E-3</v>
      </c>
      <c r="N207" s="54"/>
      <c r="O207" s="54"/>
      <c r="P207" s="59" t="str">
        <f t="shared" si="38"/>
        <v>N/A</v>
      </c>
      <c r="Q207" s="73">
        <f>IF(M207&gt;0,K207/M207-1,"N/A")</f>
        <v>0.19999999999999996</v>
      </c>
      <c r="R207" s="60"/>
      <c r="S207" s="60" t="s">
        <v>296</v>
      </c>
      <c r="T207" s="123" t="s">
        <v>186</v>
      </c>
      <c r="U207" s="151"/>
      <c r="V207" s="151" t="s">
        <v>13</v>
      </c>
      <c r="W207" s="74"/>
      <c r="X207" s="181"/>
      <c r="Y207" s="76" t="s">
        <v>100</v>
      </c>
      <c r="Z207" s="289" t="s">
        <v>104</v>
      </c>
    </row>
    <row r="208" spans="2:34" ht="13.5" outlineLevel="2" thickBot="1">
      <c r="B208" s="43"/>
      <c r="C208" s="34"/>
      <c r="D208" s="34"/>
      <c r="E208" s="54"/>
      <c r="F208" s="327"/>
      <c r="G208" s="58"/>
      <c r="H208" s="54"/>
      <c r="I208" s="327"/>
      <c r="J208" s="54"/>
      <c r="K208" s="54"/>
      <c r="L208" s="327"/>
      <c r="M208" s="54"/>
      <c r="N208" s="54"/>
      <c r="O208" s="54"/>
      <c r="P208" s="335"/>
      <c r="Q208" s="78"/>
      <c r="R208" s="134"/>
      <c r="S208" s="339"/>
      <c r="T208" s="134"/>
      <c r="U208" s="81"/>
      <c r="V208" s="81"/>
      <c r="W208" s="80"/>
      <c r="X208" s="83"/>
      <c r="Y208" s="82"/>
      <c r="Z208" s="300"/>
    </row>
    <row r="209" spans="2:34" ht="13.5" outlineLevel="1" thickBot="1">
      <c r="B209" s="47" t="s">
        <v>105</v>
      </c>
      <c r="C209" s="54"/>
      <c r="D209" s="54"/>
      <c r="E209" s="54"/>
      <c r="F209" s="327"/>
      <c r="G209" s="58"/>
      <c r="H209" s="52">
        <f>SQRT(SUMSQ(K210:K215))</f>
        <v>3.103626910567699E-2</v>
      </c>
      <c r="I209" s="355">
        <f>J209</f>
        <v>2.7856776554368242E-2</v>
      </c>
      <c r="J209" s="53">
        <f>SQRT(SUMSQ(M210:M215))</f>
        <v>2.7856776554368242E-2</v>
      </c>
      <c r="K209" s="54"/>
      <c r="L209" s="327"/>
      <c r="M209" s="54"/>
      <c r="N209" s="54"/>
      <c r="O209" s="54"/>
      <c r="P209" s="84">
        <f>IF(I209&gt;0,H209/I209-1,"N/A")</f>
        <v>0.11413713087382216</v>
      </c>
      <c r="Q209" s="84">
        <f>IF(J209&gt;0,H209/J209-1,"N/A")</f>
        <v>0.11413713087382216</v>
      </c>
      <c r="R209" s="169" t="s">
        <v>531</v>
      </c>
      <c r="S209" s="152"/>
      <c r="T209" s="152"/>
      <c r="U209" s="272"/>
      <c r="V209" s="86" t="s">
        <v>411</v>
      </c>
      <c r="W209" s="99" t="s">
        <v>445</v>
      </c>
      <c r="X209" s="99" t="s">
        <v>480</v>
      </c>
      <c r="Y209" s="99"/>
      <c r="Z209" s="98"/>
      <c r="AH209" s="71"/>
    </row>
    <row r="210" spans="2:34" ht="39" outlineLevel="2" thickBot="1">
      <c r="B210" s="43"/>
      <c r="C210" s="149" t="s">
        <v>189</v>
      </c>
      <c r="D210" s="34"/>
      <c r="E210" s="54"/>
      <c r="F210" s="327"/>
      <c r="G210" s="54"/>
      <c r="H210" s="54"/>
      <c r="I210" s="327"/>
      <c r="J210" s="54"/>
      <c r="K210" s="52">
        <v>0</v>
      </c>
      <c r="L210" s="355"/>
      <c r="M210" s="53">
        <v>0</v>
      </c>
      <c r="N210" s="54"/>
      <c r="O210" s="54"/>
      <c r="P210" s="59" t="str">
        <f t="shared" ref="P210:P215" si="39">IF(L210&gt;0,K210/L210-1,"N/A")</f>
        <v>N/A</v>
      </c>
      <c r="Q210" s="59" t="str">
        <f t="shared" ref="Q210:Q215" si="40">IF(M210&gt;0,K210/M210-1,"N/A")</f>
        <v>N/A</v>
      </c>
      <c r="R210" s="152"/>
      <c r="S210" s="152" t="s">
        <v>297</v>
      </c>
      <c r="T210" s="152" t="s">
        <v>185</v>
      </c>
      <c r="U210" s="270"/>
      <c r="V210" s="63" t="s">
        <v>21</v>
      </c>
      <c r="W210" s="64"/>
      <c r="X210" s="181"/>
      <c r="Y210" s="64" t="s">
        <v>106</v>
      </c>
      <c r="Z210" s="288" t="s">
        <v>107</v>
      </c>
    </row>
    <row r="211" spans="2:34" ht="26.25" outlineLevel="2" thickBot="1">
      <c r="B211" s="43"/>
      <c r="C211" s="43" t="s">
        <v>180</v>
      </c>
      <c r="D211" s="34"/>
      <c r="E211" s="54"/>
      <c r="F211" s="327"/>
      <c r="G211" s="54"/>
      <c r="H211" s="54"/>
      <c r="I211" s="327"/>
      <c r="J211" s="54"/>
      <c r="K211" s="52">
        <v>0.01</v>
      </c>
      <c r="L211" s="355"/>
      <c r="M211" s="53">
        <v>8.9999999999999993E-3</v>
      </c>
      <c r="N211" s="54"/>
      <c r="O211" s="54"/>
      <c r="P211" s="59" t="str">
        <f t="shared" si="39"/>
        <v>N/A</v>
      </c>
      <c r="Q211" s="59">
        <f t="shared" si="40"/>
        <v>0.11111111111111116</v>
      </c>
      <c r="R211" s="152"/>
      <c r="S211" s="152" t="s">
        <v>298</v>
      </c>
      <c r="T211" s="152" t="s">
        <v>185</v>
      </c>
      <c r="U211" s="270"/>
      <c r="V211" s="63" t="s">
        <v>21</v>
      </c>
      <c r="W211" s="64"/>
      <c r="X211" s="181"/>
      <c r="Y211" s="64" t="s">
        <v>106</v>
      </c>
      <c r="Z211" s="288"/>
    </row>
    <row r="212" spans="2:34" ht="13.5" outlineLevel="2" thickBot="1">
      <c r="B212" s="43"/>
      <c r="C212" s="43" t="s">
        <v>181</v>
      </c>
      <c r="D212" s="34"/>
      <c r="E212" s="54"/>
      <c r="F212" s="327"/>
      <c r="G212" s="54"/>
      <c r="H212" s="54"/>
      <c r="I212" s="327"/>
      <c r="J212" s="54"/>
      <c r="K212" s="52">
        <v>2.1000000000000001E-2</v>
      </c>
      <c r="L212" s="355"/>
      <c r="M212" s="53">
        <v>1.9E-2</v>
      </c>
      <c r="N212" s="54"/>
      <c r="O212" s="54"/>
      <c r="P212" s="59" t="str">
        <f t="shared" si="39"/>
        <v>N/A</v>
      </c>
      <c r="Q212" s="59">
        <f t="shared" si="40"/>
        <v>0.10526315789473695</v>
      </c>
      <c r="R212" s="152"/>
      <c r="S212" s="152" t="s">
        <v>299</v>
      </c>
      <c r="T212" s="191" t="s">
        <v>171</v>
      </c>
      <c r="U212" s="270"/>
      <c r="V212" s="63" t="s">
        <v>21</v>
      </c>
      <c r="W212" s="70"/>
      <c r="X212" s="181"/>
      <c r="Y212" s="64" t="s">
        <v>106</v>
      </c>
      <c r="Z212" s="288" t="s">
        <v>108</v>
      </c>
    </row>
    <row r="213" spans="2:34" ht="13.5" outlineLevel="2" thickBot="1">
      <c r="B213" s="43"/>
      <c r="C213" s="43" t="s">
        <v>182</v>
      </c>
      <c r="D213" s="34"/>
      <c r="E213" s="54"/>
      <c r="F213" s="327"/>
      <c r="G213" s="54"/>
      <c r="H213" s="54"/>
      <c r="I213" s="327"/>
      <c r="J213" s="54"/>
      <c r="K213" s="52">
        <v>1.7000000000000001E-2</v>
      </c>
      <c r="L213" s="355"/>
      <c r="M213" s="53">
        <v>1.4999999999999999E-2</v>
      </c>
      <c r="N213" s="54"/>
      <c r="O213" s="54"/>
      <c r="P213" s="59" t="str">
        <f t="shared" si="39"/>
        <v>N/A</v>
      </c>
      <c r="Q213" s="59">
        <f t="shared" si="40"/>
        <v>0.13333333333333353</v>
      </c>
      <c r="R213" s="141"/>
      <c r="S213" s="141" t="s">
        <v>300</v>
      </c>
      <c r="T213" s="191" t="s">
        <v>171</v>
      </c>
      <c r="U213" s="270"/>
      <c r="V213" s="63" t="s">
        <v>21</v>
      </c>
      <c r="W213" s="70"/>
      <c r="X213" s="62"/>
      <c r="Y213" s="64" t="s">
        <v>106</v>
      </c>
      <c r="Z213" s="288"/>
    </row>
    <row r="214" spans="2:34" ht="13.5" outlineLevel="2" thickBot="1">
      <c r="B214" s="43"/>
      <c r="C214" s="43" t="s">
        <v>183</v>
      </c>
      <c r="D214" s="34"/>
      <c r="E214" s="54"/>
      <c r="F214" s="327"/>
      <c r="G214" s="54"/>
      <c r="H214" s="54"/>
      <c r="I214" s="327"/>
      <c r="J214" s="54"/>
      <c r="K214" s="52">
        <v>1.0999999999999999E-2</v>
      </c>
      <c r="L214" s="355"/>
      <c r="M214" s="53">
        <v>0.01</v>
      </c>
      <c r="N214" s="54"/>
      <c r="O214" s="54"/>
      <c r="P214" s="59" t="str">
        <f t="shared" si="39"/>
        <v>N/A</v>
      </c>
      <c r="Q214" s="59">
        <f t="shared" si="40"/>
        <v>9.9999999999999867E-2</v>
      </c>
      <c r="R214" s="152"/>
      <c r="S214" s="152"/>
      <c r="T214" s="152"/>
      <c r="U214" s="270"/>
      <c r="V214" s="63" t="s">
        <v>21</v>
      </c>
      <c r="W214" s="64"/>
      <c r="X214" s="62"/>
      <c r="Y214" s="64" t="s">
        <v>106</v>
      </c>
      <c r="Z214" s="288"/>
    </row>
    <row r="215" spans="2:34" ht="26.25" outlineLevel="2" thickBot="1">
      <c r="B215" s="43"/>
      <c r="C215" s="43" t="s">
        <v>184</v>
      </c>
      <c r="D215" s="34"/>
      <c r="E215" s="54"/>
      <c r="F215" s="327"/>
      <c r="G215" s="54"/>
      <c r="H215" s="54"/>
      <c r="I215" s="327"/>
      <c r="J215" s="54"/>
      <c r="K215" s="52">
        <v>3.5000000000000001E-3</v>
      </c>
      <c r="L215" s="355"/>
      <c r="M215" s="53">
        <v>3.0000000000000001E-3</v>
      </c>
      <c r="N215" s="54"/>
      <c r="O215" s="54"/>
      <c r="P215" s="59" t="str">
        <f t="shared" si="39"/>
        <v>N/A</v>
      </c>
      <c r="Q215" s="73">
        <f t="shared" si="40"/>
        <v>0.16666666666666674</v>
      </c>
      <c r="R215" s="152"/>
      <c r="S215" s="152"/>
      <c r="T215" s="191" t="s">
        <v>172</v>
      </c>
      <c r="U215" s="271"/>
      <c r="V215" s="75" t="s">
        <v>21</v>
      </c>
      <c r="W215" s="74"/>
      <c r="X215" s="139"/>
      <c r="Y215" s="76" t="s">
        <v>106</v>
      </c>
      <c r="Z215" s="289" t="s">
        <v>109</v>
      </c>
    </row>
    <row r="216" spans="2:34" ht="13.5" outlineLevel="2" thickBot="1">
      <c r="B216" s="43"/>
      <c r="C216" s="43"/>
      <c r="D216" s="43"/>
      <c r="E216" s="66"/>
      <c r="F216" s="329"/>
      <c r="G216" s="66"/>
      <c r="H216" s="66"/>
      <c r="I216" s="329"/>
      <c r="J216" s="66"/>
      <c r="K216" s="66"/>
      <c r="L216" s="329"/>
      <c r="M216" s="54"/>
      <c r="N216" s="66"/>
      <c r="O216" s="66"/>
      <c r="P216" s="335"/>
      <c r="Q216" s="78"/>
      <c r="R216" s="88"/>
      <c r="S216" s="88"/>
      <c r="T216" s="88"/>
      <c r="U216" s="81"/>
      <c r="V216" s="81"/>
      <c r="W216" s="80"/>
      <c r="X216" s="83"/>
      <c r="Y216" s="82"/>
      <c r="Z216" s="285"/>
    </row>
    <row r="217" spans="2:34" ht="13.5" thickBot="1">
      <c r="B217" s="56" t="s">
        <v>324</v>
      </c>
      <c r="C217" s="56"/>
      <c r="D217" s="56"/>
      <c r="E217" s="40">
        <f>SQRT(SUMSQ(H218,H222,H226,H230,H234))</f>
        <v>6.0901559914340452E-2</v>
      </c>
      <c r="F217" s="354">
        <f>SQRT(SUMSQ(I218,I222,I226,I230,I234))</f>
        <v>5.2719488806322844E-2</v>
      </c>
      <c r="G217" s="41">
        <f>SQRT(SUMSQ(J218,J222,J226,J230,J234))</f>
        <v>5.2719488806322844E-2</v>
      </c>
      <c r="K217" s="57"/>
      <c r="L217" s="57"/>
      <c r="M217" s="57"/>
      <c r="N217" s="57"/>
      <c r="O217" s="57"/>
      <c r="P217" s="262">
        <f>E217/F217-1</f>
        <v>0.15520012225604707</v>
      </c>
      <c r="Q217" s="89">
        <f>E217/G217-1</f>
        <v>0.15520012225604707</v>
      </c>
      <c r="R217" s="273"/>
      <c r="S217" s="273"/>
      <c r="T217" s="274"/>
      <c r="U217" s="92"/>
      <c r="V217" s="92" t="s">
        <v>449</v>
      </c>
      <c r="W217" s="93" t="s">
        <v>443</v>
      </c>
      <c r="X217" s="94" t="s">
        <v>481</v>
      </c>
      <c r="Y217" s="93"/>
      <c r="Z217" s="287"/>
      <c r="AH217" s="71"/>
    </row>
    <row r="218" spans="2:34" ht="13.5" outlineLevel="1" thickBot="1">
      <c r="B218" s="228" t="s">
        <v>110</v>
      </c>
      <c r="C218" s="34"/>
      <c r="D218" s="34"/>
      <c r="E218" s="54"/>
      <c r="F218" s="327"/>
      <c r="G218" s="58"/>
      <c r="H218" s="52">
        <f>SQRT(SUMSQ(K219,K220))</f>
        <v>8.2462112512353206E-3</v>
      </c>
      <c r="I218" s="355">
        <f>J218</f>
        <v>6.9231495722683906E-3</v>
      </c>
      <c r="J218" s="53">
        <f>SQRT(SUMSQ(M219,M220))</f>
        <v>6.9231495722683906E-3</v>
      </c>
      <c r="K218" s="54"/>
      <c r="L218" s="327"/>
      <c r="M218" s="54"/>
      <c r="N218" s="54"/>
      <c r="O218" s="54"/>
      <c r="P218" s="84">
        <f>IF(I218&gt;0,H218/I218-1,"N/A")</f>
        <v>0.19110690375181716</v>
      </c>
      <c r="Q218" s="59">
        <f>IF(J218&gt;0,H218/J218-1,"N/A")</f>
        <v>0.19110690375181716</v>
      </c>
      <c r="R218" s="169" t="s">
        <v>531</v>
      </c>
      <c r="S218" s="152"/>
      <c r="T218" s="152"/>
      <c r="U218" s="270"/>
      <c r="V218" s="63"/>
      <c r="W218" s="70"/>
      <c r="X218" s="181"/>
      <c r="Y218" s="70"/>
      <c r="Z218" s="283"/>
      <c r="AH218" s="71"/>
    </row>
    <row r="219" spans="2:34" ht="166.5" outlineLevel="2" thickBot="1">
      <c r="B219" s="43"/>
      <c r="C219" s="43" t="s">
        <v>111</v>
      </c>
      <c r="D219" s="43"/>
      <c r="E219" s="66"/>
      <c r="F219" s="329"/>
      <c r="G219" s="67"/>
      <c r="H219" s="66"/>
      <c r="I219" s="329"/>
      <c r="J219" s="66"/>
      <c r="K219" s="52">
        <v>8.0000000000000002E-3</v>
      </c>
      <c r="L219" s="355"/>
      <c r="M219" s="53">
        <v>6.7999999999999996E-3</v>
      </c>
      <c r="N219" s="66"/>
      <c r="O219" s="66"/>
      <c r="P219" s="59" t="str">
        <f t="shared" ref="P219:P220" si="41">IF(L219&gt;0,K219/L219-1,"N/A")</f>
        <v>N/A</v>
      </c>
      <c r="Q219" s="59">
        <f>IF(M219&gt;0,K219/M219-1,"N/A")</f>
        <v>0.17647058823529416</v>
      </c>
      <c r="R219" s="141"/>
      <c r="S219" s="141" t="s">
        <v>301</v>
      </c>
      <c r="T219" s="191" t="s">
        <v>173</v>
      </c>
      <c r="U219" s="270"/>
      <c r="V219" s="63" t="s">
        <v>23</v>
      </c>
      <c r="W219" s="70"/>
      <c r="X219" s="181"/>
      <c r="Y219" s="70"/>
      <c r="Z219" s="283" t="s">
        <v>112</v>
      </c>
      <c r="AH219" s="71"/>
    </row>
    <row r="220" spans="2:34" ht="13.5" outlineLevel="2" thickBot="1">
      <c r="B220" s="43"/>
      <c r="C220" s="43" t="s">
        <v>113</v>
      </c>
      <c r="D220" s="43"/>
      <c r="E220" s="66"/>
      <c r="F220" s="329"/>
      <c r="G220" s="67"/>
      <c r="H220" s="66"/>
      <c r="I220" s="329"/>
      <c r="J220" s="66"/>
      <c r="K220" s="52">
        <v>2E-3</v>
      </c>
      <c r="L220" s="355"/>
      <c r="M220" s="53">
        <v>1.2999999999999999E-3</v>
      </c>
      <c r="N220" s="66"/>
      <c r="O220" s="66"/>
      <c r="P220" s="59" t="str">
        <f t="shared" si="41"/>
        <v>N/A</v>
      </c>
      <c r="Q220" s="73">
        <f>IF(M220&gt;0,K220/M220-1,"N/A")</f>
        <v>0.53846153846153855</v>
      </c>
      <c r="R220" s="141"/>
      <c r="S220" s="141"/>
      <c r="T220" s="191" t="s">
        <v>173</v>
      </c>
      <c r="U220" s="271"/>
      <c r="V220" s="75" t="s">
        <v>23</v>
      </c>
      <c r="W220" s="74"/>
      <c r="X220" s="183"/>
      <c r="Y220" s="74"/>
      <c r="Z220" s="284" t="s">
        <v>112</v>
      </c>
      <c r="AH220" s="71"/>
    </row>
    <row r="221" spans="2:34" ht="13.5" outlineLevel="2" thickBot="1">
      <c r="B221" s="43"/>
      <c r="C221" s="43"/>
      <c r="D221" s="43"/>
      <c r="E221" s="66"/>
      <c r="F221" s="329"/>
      <c r="G221" s="67"/>
      <c r="H221" s="66"/>
      <c r="I221" s="329"/>
      <c r="J221" s="66"/>
      <c r="K221" s="66"/>
      <c r="L221" s="329"/>
      <c r="M221" s="66"/>
      <c r="N221" s="66"/>
      <c r="O221" s="66"/>
      <c r="P221" s="335"/>
      <c r="Q221" s="78"/>
      <c r="R221" s="88"/>
      <c r="S221" s="88"/>
      <c r="T221" s="88"/>
      <c r="U221" s="81"/>
      <c r="V221" s="81"/>
      <c r="W221" s="80"/>
      <c r="X221" s="87"/>
      <c r="Y221" s="80"/>
      <c r="Z221" s="285"/>
      <c r="AH221" s="71"/>
    </row>
    <row r="222" spans="2:34" ht="13.5" outlineLevel="1" thickBot="1">
      <c r="B222" s="228" t="s">
        <v>114</v>
      </c>
      <c r="C222" s="34"/>
      <c r="D222" s="34"/>
      <c r="E222" s="54"/>
      <c r="F222" s="327"/>
      <c r="G222" s="58"/>
      <c r="H222" s="52">
        <f>SQRT(SUMSQ(K223,K224))</f>
        <v>6.0827625302982196E-3</v>
      </c>
      <c r="I222" s="355">
        <f>J222</f>
        <v>5.1198144497628037E-3</v>
      </c>
      <c r="J222" s="53">
        <f>SQRT(SUMSQ(M223,M224))</f>
        <v>5.1198144497628037E-3</v>
      </c>
      <c r="K222" s="54"/>
      <c r="L222" s="327"/>
      <c r="M222" s="54"/>
      <c r="N222" s="54"/>
      <c r="O222" s="54"/>
      <c r="P222" s="84">
        <f>IF(I222&gt;0,H222/I222-1,"N/A")</f>
        <v>0.18808261314626917</v>
      </c>
      <c r="Q222" s="84">
        <f>IF(J222&gt;0,H222/J222-1,"N/A")</f>
        <v>0.18808261314626917</v>
      </c>
      <c r="R222" s="169" t="s">
        <v>531</v>
      </c>
      <c r="S222" s="180"/>
      <c r="T222" s="153"/>
      <c r="U222" s="86"/>
      <c r="V222" s="86"/>
      <c r="W222" s="85"/>
      <c r="X222" s="182"/>
      <c r="Y222" s="85"/>
      <c r="Z222" s="286"/>
      <c r="AH222" s="71"/>
    </row>
    <row r="223" spans="2:34" ht="13.5" outlineLevel="2" thickBot="1">
      <c r="B223" s="43"/>
      <c r="C223" s="43" t="s">
        <v>115</v>
      </c>
      <c r="D223" s="43"/>
      <c r="E223" s="66"/>
      <c r="F223" s="329"/>
      <c r="G223" s="67"/>
      <c r="H223" s="66"/>
      <c r="I223" s="329"/>
      <c r="J223" s="66"/>
      <c r="K223" s="52">
        <v>6.0000000000000001E-3</v>
      </c>
      <c r="L223" s="355"/>
      <c r="M223" s="53">
        <v>5.1000000000000004E-3</v>
      </c>
      <c r="N223" s="66"/>
      <c r="O223" s="66"/>
      <c r="P223" s="59" t="str">
        <f t="shared" ref="P223:P224" si="42">IF(L223&gt;0,K223/L223-1,"N/A")</f>
        <v>N/A</v>
      </c>
      <c r="Q223" s="59">
        <f>IF(M223&gt;0,K223/M223-1,"N/A")</f>
        <v>0.17647058823529416</v>
      </c>
      <c r="R223" s="178"/>
      <c r="S223" s="178"/>
      <c r="T223" s="191" t="s">
        <v>173</v>
      </c>
      <c r="U223" s="63"/>
      <c r="V223" s="63" t="s">
        <v>23</v>
      </c>
      <c r="W223" s="70"/>
      <c r="X223" s="181"/>
      <c r="Y223" s="70"/>
      <c r="Z223" s="283" t="s">
        <v>112</v>
      </c>
      <c r="AH223" s="71"/>
    </row>
    <row r="224" spans="2:34" ht="13.5" outlineLevel="2" thickBot="1">
      <c r="B224" s="43"/>
      <c r="C224" s="43" t="s">
        <v>116</v>
      </c>
      <c r="D224" s="43"/>
      <c r="E224" s="66"/>
      <c r="F224" s="329"/>
      <c r="G224" s="67"/>
      <c r="H224" s="66"/>
      <c r="I224" s="329"/>
      <c r="J224" s="66"/>
      <c r="K224" s="52">
        <v>1E-3</v>
      </c>
      <c r="L224" s="355"/>
      <c r="M224" s="53">
        <v>4.4999999999999999E-4</v>
      </c>
      <c r="N224" s="66"/>
      <c r="O224" s="66"/>
      <c r="P224" s="59" t="str">
        <f t="shared" si="42"/>
        <v>N/A</v>
      </c>
      <c r="Q224" s="73">
        <f>IF(M224&gt;0,K224/M224-1,"N/A")</f>
        <v>1.2222222222222223</v>
      </c>
      <c r="R224" s="177"/>
      <c r="S224" s="177"/>
      <c r="T224" s="190" t="s">
        <v>173</v>
      </c>
      <c r="U224" s="75"/>
      <c r="V224" s="75" t="s">
        <v>23</v>
      </c>
      <c r="W224" s="74"/>
      <c r="X224" s="183"/>
      <c r="Y224" s="74"/>
      <c r="Z224" s="284" t="s">
        <v>112</v>
      </c>
      <c r="AH224" s="71"/>
    </row>
    <row r="225" spans="1:34" ht="13.5" outlineLevel="2" thickBot="1">
      <c r="B225" s="43"/>
      <c r="C225" s="43"/>
      <c r="D225" s="43"/>
      <c r="E225" s="66"/>
      <c r="F225" s="329"/>
      <c r="G225" s="67"/>
      <c r="H225" s="66"/>
      <c r="I225" s="329"/>
      <c r="J225" s="66"/>
      <c r="K225" s="66"/>
      <c r="L225" s="329"/>
      <c r="M225" s="66"/>
      <c r="N225" s="66"/>
      <c r="O225" s="66"/>
      <c r="P225" s="335"/>
      <c r="Q225" s="78"/>
      <c r="R225" s="88"/>
      <c r="S225" s="88"/>
      <c r="T225" s="88"/>
      <c r="U225" s="81"/>
      <c r="V225" s="81"/>
      <c r="W225" s="80"/>
      <c r="X225" s="87"/>
      <c r="Y225" s="80"/>
      <c r="Z225" s="285"/>
      <c r="AH225" s="71"/>
    </row>
    <row r="226" spans="1:34" ht="13.5" outlineLevel="1" thickBot="1">
      <c r="B226" s="228" t="s">
        <v>117</v>
      </c>
      <c r="C226" s="34"/>
      <c r="D226" s="34"/>
      <c r="E226" s="54"/>
      <c r="F226" s="327"/>
      <c r="G226" s="58"/>
      <c r="H226" s="52">
        <f>SQRT(SUMSQ(K227,K228))</f>
        <v>1.414213562373095E-3</v>
      </c>
      <c r="I226" s="355">
        <f>J226</f>
        <v>4.5099889135118723E-4</v>
      </c>
      <c r="J226" s="53">
        <f>SQRT(SUMSQ(M227,M228))</f>
        <v>4.5099889135118723E-4</v>
      </c>
      <c r="K226" s="54"/>
      <c r="L226" s="327"/>
      <c r="M226" s="54"/>
      <c r="N226" s="54"/>
      <c r="O226" s="54"/>
      <c r="P226" s="84">
        <f>IF(I226&gt;0,H226/I226-1,"N/A")</f>
        <v>2.1357362279453245</v>
      </c>
      <c r="Q226" s="84">
        <f>IF(J226&gt;0,H226/J226-1,"N/A")</f>
        <v>2.1357362279453245</v>
      </c>
      <c r="R226" s="169" t="s">
        <v>531</v>
      </c>
      <c r="S226" s="180"/>
      <c r="T226" s="153"/>
      <c r="U226" s="86"/>
      <c r="V226" s="86"/>
      <c r="W226" s="85"/>
      <c r="X226" s="182"/>
      <c r="Y226" s="85"/>
      <c r="Z226" s="286"/>
      <c r="AH226" s="71"/>
    </row>
    <row r="227" spans="1:34" ht="26.25" outlineLevel="2" thickBot="1">
      <c r="B227" s="43"/>
      <c r="C227" s="43" t="s">
        <v>118</v>
      </c>
      <c r="D227" s="43"/>
      <c r="E227" s="66"/>
      <c r="F227" s="329"/>
      <c r="G227" s="67"/>
      <c r="H227" s="66"/>
      <c r="I227" s="329"/>
      <c r="J227" s="66"/>
      <c r="K227" s="52">
        <v>1E-3</v>
      </c>
      <c r="L227" s="355"/>
      <c r="M227" s="53">
        <v>3.0000000000000001E-5</v>
      </c>
      <c r="N227" s="66"/>
      <c r="O227" s="66"/>
      <c r="P227" s="59" t="str">
        <f t="shared" ref="P227:P228" si="43">IF(L227&gt;0,K227/L227-1,"N/A")</f>
        <v>N/A</v>
      </c>
      <c r="Q227" s="59">
        <f>IF(M227&gt;0,K227/M227-1,"N/A")</f>
        <v>32.333333333333336</v>
      </c>
      <c r="R227" s="178"/>
      <c r="S227" s="178"/>
      <c r="T227" s="191" t="s">
        <v>173</v>
      </c>
      <c r="U227" s="63"/>
      <c r="V227" s="63" t="s">
        <v>25</v>
      </c>
      <c r="W227" s="70"/>
      <c r="X227" s="181"/>
      <c r="Y227" s="70"/>
      <c r="Z227" s="283" t="s">
        <v>119</v>
      </c>
      <c r="AH227" s="71"/>
    </row>
    <row r="228" spans="1:34" ht="26.25" outlineLevel="2" thickBot="1">
      <c r="B228" s="43"/>
      <c r="C228" s="43" t="s">
        <v>120</v>
      </c>
      <c r="D228" s="43"/>
      <c r="E228" s="66"/>
      <c r="F228" s="329"/>
      <c r="G228" s="67"/>
      <c r="H228" s="66"/>
      <c r="I228" s="329"/>
      <c r="J228" s="66"/>
      <c r="K228" s="52">
        <v>1E-3</v>
      </c>
      <c r="L228" s="355"/>
      <c r="M228" s="53">
        <v>4.4999999999999999E-4</v>
      </c>
      <c r="N228" s="66"/>
      <c r="O228" s="66"/>
      <c r="P228" s="59" t="str">
        <f t="shared" si="43"/>
        <v>N/A</v>
      </c>
      <c r="Q228" s="73">
        <f>IF(M228&gt;0,K228/M228-1,"N/A")</f>
        <v>1.2222222222222223</v>
      </c>
      <c r="R228" s="177"/>
      <c r="S228" s="177"/>
      <c r="T228" s="190" t="s">
        <v>173</v>
      </c>
      <c r="U228" s="75"/>
      <c r="V228" s="75" t="s">
        <v>25</v>
      </c>
      <c r="W228" s="74"/>
      <c r="X228" s="183"/>
      <c r="Y228" s="74"/>
      <c r="Z228" s="284" t="s">
        <v>119</v>
      </c>
      <c r="AH228" s="71"/>
    </row>
    <row r="229" spans="1:34" ht="13.5" outlineLevel="2" thickBot="1">
      <c r="B229" s="43"/>
      <c r="C229" s="43"/>
      <c r="D229" s="43"/>
      <c r="E229" s="66"/>
      <c r="F229" s="329"/>
      <c r="G229" s="67"/>
      <c r="H229" s="66"/>
      <c r="I229" s="329"/>
      <c r="J229" s="66"/>
      <c r="K229" s="66"/>
      <c r="L229" s="329"/>
      <c r="M229" s="66"/>
      <c r="N229" s="66"/>
      <c r="O229" s="66"/>
      <c r="P229" s="335"/>
      <c r="Q229" s="78"/>
      <c r="R229" s="88"/>
      <c r="S229" s="88"/>
      <c r="T229" s="88"/>
      <c r="U229" s="81"/>
      <c r="V229" s="81"/>
      <c r="W229" s="80"/>
      <c r="X229" s="87"/>
      <c r="Y229" s="80"/>
      <c r="Z229" s="285"/>
      <c r="AH229" s="71"/>
    </row>
    <row r="230" spans="1:34" ht="13.5" outlineLevel="1" thickBot="1">
      <c r="B230" s="228" t="s">
        <v>121</v>
      </c>
      <c r="C230" s="34"/>
      <c r="D230" s="34"/>
      <c r="E230" s="54"/>
      <c r="F230" s="327"/>
      <c r="G230" s="58"/>
      <c r="H230" s="52">
        <f>SQRT(SUMSQ(K231,K232))</f>
        <v>1.414213562373095E-3</v>
      </c>
      <c r="I230" s="355">
        <f>J230</f>
        <v>9.9929975482834972E-4</v>
      </c>
      <c r="J230" s="53">
        <f>SQRT(SUMSQ(M231,M232))</f>
        <v>9.9929975482834972E-4</v>
      </c>
      <c r="K230" s="54"/>
      <c r="L230" s="327"/>
      <c r="M230" s="54"/>
      <c r="N230" s="54"/>
      <c r="O230" s="54"/>
      <c r="P230" s="84">
        <f>IF(I230&gt;0,H230/I230-1,"N/A")</f>
        <v>0.41520455252790023</v>
      </c>
      <c r="Q230" s="84">
        <f>IF(J230&gt;0,H230/J230-1,"N/A")</f>
        <v>0.41520455252790023</v>
      </c>
      <c r="R230" s="169" t="s">
        <v>531</v>
      </c>
      <c r="S230" s="180"/>
      <c r="T230" s="153"/>
      <c r="U230" s="86"/>
      <c r="V230" s="86"/>
      <c r="W230" s="85"/>
      <c r="X230" s="182"/>
      <c r="Y230" s="85"/>
      <c r="Z230" s="286"/>
      <c r="AH230" s="71"/>
    </row>
    <row r="231" spans="1:34" ht="13.5" outlineLevel="2" thickBot="1">
      <c r="B231" s="43"/>
      <c r="C231" s="43" t="s">
        <v>122</v>
      </c>
      <c r="D231" s="43"/>
      <c r="E231" s="66"/>
      <c r="F231" s="329"/>
      <c r="G231" s="67"/>
      <c r="H231" s="66"/>
      <c r="I231" s="329"/>
      <c r="J231" s="66"/>
      <c r="K231" s="52">
        <v>1E-3</v>
      </c>
      <c r="L231" s="355"/>
      <c r="M231" s="53">
        <v>3.1E-4</v>
      </c>
      <c r="N231" s="66"/>
      <c r="O231" s="66"/>
      <c r="P231" s="59" t="str">
        <f t="shared" ref="P231:P232" si="44">IF(L231&gt;0,K231/L231-1,"N/A")</f>
        <v>N/A</v>
      </c>
      <c r="Q231" s="59">
        <f>IF(M231&gt;0,K231/M231-1,"N/A")</f>
        <v>2.2258064516129035</v>
      </c>
      <c r="R231" s="178"/>
      <c r="S231" s="178"/>
      <c r="T231" s="191" t="s">
        <v>173</v>
      </c>
      <c r="U231" s="63"/>
      <c r="V231" s="63" t="s">
        <v>28</v>
      </c>
      <c r="W231" s="70"/>
      <c r="X231" s="181"/>
      <c r="Y231" s="70"/>
      <c r="Z231" s="283" t="s">
        <v>112</v>
      </c>
      <c r="AH231" s="71"/>
    </row>
    <row r="232" spans="1:34" ht="13.5" outlineLevel="2" thickBot="1">
      <c r="B232" s="43"/>
      <c r="C232" s="43" t="s">
        <v>123</v>
      </c>
      <c r="D232" s="43"/>
      <c r="E232" s="66"/>
      <c r="F232" s="329"/>
      <c r="G232" s="67"/>
      <c r="H232" s="66"/>
      <c r="I232" s="329"/>
      <c r="J232" s="66"/>
      <c r="K232" s="52">
        <v>1E-3</v>
      </c>
      <c r="L232" s="355"/>
      <c r="M232" s="53">
        <v>9.5E-4</v>
      </c>
      <c r="N232" s="66"/>
      <c r="O232" s="66"/>
      <c r="P232" s="59" t="str">
        <f t="shared" si="44"/>
        <v>N/A</v>
      </c>
      <c r="Q232" s="73">
        <f>IF(M232&gt;0,K232/M232-1,"N/A")</f>
        <v>5.2631578947368363E-2</v>
      </c>
      <c r="R232" s="177"/>
      <c r="S232" s="177"/>
      <c r="T232" s="190" t="s">
        <v>173</v>
      </c>
      <c r="U232" s="75"/>
      <c r="V232" s="75" t="s">
        <v>28</v>
      </c>
      <c r="W232" s="74"/>
      <c r="X232" s="183"/>
      <c r="Y232" s="74"/>
      <c r="Z232" s="284" t="s">
        <v>112</v>
      </c>
      <c r="AH232" s="71"/>
    </row>
    <row r="233" spans="1:34" ht="13.5" outlineLevel="2" thickBot="1">
      <c r="B233" s="43"/>
      <c r="C233" s="43"/>
      <c r="D233" s="43"/>
      <c r="E233" s="66"/>
      <c r="F233" s="329"/>
      <c r="G233" s="67"/>
      <c r="H233" s="66"/>
      <c r="I233" s="329"/>
      <c r="J233" s="66"/>
      <c r="K233" s="66"/>
      <c r="L233" s="329"/>
      <c r="M233" s="66"/>
      <c r="N233" s="66"/>
      <c r="O233" s="66"/>
      <c r="P233" s="335"/>
      <c r="Q233" s="78"/>
      <c r="R233" s="88"/>
      <c r="S233" s="88"/>
      <c r="T233" s="88"/>
      <c r="U233" s="81"/>
      <c r="V233" s="81"/>
      <c r="W233" s="80"/>
      <c r="X233" s="87"/>
      <c r="Y233" s="80"/>
      <c r="Z233" s="285"/>
      <c r="AH233" s="71"/>
    </row>
    <row r="234" spans="1:34" ht="64.5" outlineLevel="1" thickBot="1">
      <c r="B234" s="228" t="s">
        <v>124</v>
      </c>
      <c r="D234" s="34"/>
      <c r="E234" s="54"/>
      <c r="F234" s="327"/>
      <c r="G234" s="67"/>
      <c r="H234" s="52">
        <v>0.06</v>
      </c>
      <c r="I234" s="355">
        <f>J234</f>
        <v>5.1999999999999998E-2</v>
      </c>
      <c r="J234" s="53">
        <v>5.1999999999999998E-2</v>
      </c>
      <c r="N234" s="54"/>
      <c r="O234" s="54"/>
      <c r="P234" s="84">
        <f>IF(I234&gt;0,H234/I234-1,"N/A")</f>
        <v>0.15384615384615397</v>
      </c>
      <c r="Q234" s="154">
        <f>IF(J234&gt;0,H234/J234-1,"N/A")</f>
        <v>0.15384615384615397</v>
      </c>
      <c r="R234" s="155"/>
      <c r="S234" s="155" t="s">
        <v>316</v>
      </c>
      <c r="T234" s="189" t="s">
        <v>188</v>
      </c>
      <c r="U234" s="110"/>
      <c r="V234" s="110" t="s">
        <v>51</v>
      </c>
      <c r="W234" s="156"/>
      <c r="X234" s="111"/>
      <c r="Y234" s="156"/>
      <c r="Z234" s="294"/>
      <c r="AH234" s="71"/>
    </row>
    <row r="235" spans="1:34" s="107" customFormat="1">
      <c r="A235" s="105"/>
      <c r="B235" s="43"/>
      <c r="C235" s="43"/>
      <c r="D235" s="43"/>
      <c r="E235" s="66"/>
      <c r="F235" s="329"/>
      <c r="G235" s="66"/>
      <c r="H235" s="66"/>
      <c r="I235" s="329"/>
      <c r="J235" s="66"/>
      <c r="K235" s="66"/>
      <c r="L235" s="329"/>
      <c r="M235" s="66"/>
      <c r="N235" s="66"/>
      <c r="O235" s="66"/>
      <c r="P235" s="100"/>
      <c r="Q235" s="100"/>
      <c r="R235" s="101"/>
      <c r="S235" s="101"/>
      <c r="T235" s="101"/>
      <c r="U235" s="102"/>
      <c r="V235" s="102"/>
      <c r="W235" s="103"/>
      <c r="X235" s="104"/>
      <c r="Y235" s="103"/>
      <c r="Z235" s="297"/>
      <c r="AH235" s="108"/>
    </row>
    <row r="236" spans="1:34" s="107" customFormat="1">
      <c r="A236" s="105"/>
      <c r="B236" s="34"/>
      <c r="C236" s="54"/>
      <c r="D236" s="66"/>
      <c r="E236" s="66"/>
      <c r="F236" s="329"/>
      <c r="G236" s="66"/>
      <c r="H236" s="66"/>
      <c r="I236" s="329"/>
      <c r="J236" s="66"/>
      <c r="K236" s="66"/>
      <c r="L236" s="329"/>
      <c r="M236" s="66"/>
      <c r="N236" s="66"/>
      <c r="O236" s="66"/>
      <c r="P236" s="33"/>
      <c r="Q236" s="33"/>
      <c r="R236" s="137"/>
      <c r="S236" s="137"/>
      <c r="T236" s="137"/>
      <c r="U236" s="34"/>
      <c r="V236" s="34"/>
      <c r="X236" s="105"/>
      <c r="Z236" s="290"/>
      <c r="AH236" s="108"/>
    </row>
    <row r="237" spans="1:34" s="107" customFormat="1">
      <c r="A237" s="105"/>
      <c r="B237" s="43"/>
      <c r="C237" s="43"/>
      <c r="D237" s="43"/>
      <c r="E237" s="66"/>
      <c r="F237" s="329"/>
      <c r="G237" s="66"/>
      <c r="H237" s="66"/>
      <c r="I237" s="329"/>
      <c r="J237" s="66"/>
      <c r="K237" s="66"/>
      <c r="L237" s="329"/>
      <c r="M237" s="66"/>
      <c r="N237" s="66"/>
      <c r="O237" s="66"/>
      <c r="P237" s="109"/>
      <c r="Q237" s="109"/>
      <c r="R237" s="116"/>
      <c r="S237" s="116"/>
      <c r="T237" s="116"/>
      <c r="U237" s="117"/>
      <c r="V237" s="117"/>
      <c r="W237" s="118"/>
      <c r="X237" s="119"/>
      <c r="Y237" s="118"/>
      <c r="Z237" s="293"/>
      <c r="AA237" s="105"/>
      <c r="AH237" s="108"/>
    </row>
    <row r="238" spans="1:34">
      <c r="B238" s="56" t="s">
        <v>146</v>
      </c>
      <c r="C238" s="56"/>
      <c r="D238" s="56"/>
      <c r="E238" s="47"/>
      <c r="F238" s="47"/>
      <c r="G238" s="57"/>
      <c r="H238" s="57"/>
      <c r="I238" s="57"/>
      <c r="J238" s="57"/>
      <c r="K238" s="57"/>
      <c r="L238" s="57"/>
      <c r="M238" s="57"/>
      <c r="N238" s="57"/>
      <c r="O238" s="57"/>
      <c r="P238" s="89"/>
      <c r="Q238" s="89"/>
      <c r="R238" s="90"/>
      <c r="S238" s="90"/>
      <c r="T238" s="91"/>
      <c r="U238" s="158"/>
      <c r="V238" s="92"/>
      <c r="W238" s="138"/>
      <c r="X238" s="94"/>
      <c r="Y238" s="138"/>
      <c r="Z238" s="301"/>
      <c r="AH238" s="71"/>
    </row>
    <row r="239" spans="1:34" outlineLevel="1">
      <c r="B239" s="172" t="s">
        <v>147</v>
      </c>
      <c r="C239" s="173"/>
      <c r="D239" s="173"/>
      <c r="E239" s="66"/>
      <c r="F239" s="329"/>
      <c r="G239" s="66"/>
      <c r="H239" s="66"/>
      <c r="I239" s="329"/>
      <c r="J239" s="66"/>
      <c r="K239" s="66"/>
      <c r="L239" s="329"/>
      <c r="M239" s="66"/>
      <c r="N239" s="66"/>
      <c r="O239" s="66"/>
      <c r="P239" s="59"/>
      <c r="Q239" s="59"/>
      <c r="R239" s="115"/>
      <c r="S239" s="115"/>
      <c r="T239" s="123"/>
      <c r="U239" s="174"/>
      <c r="V239" s="174"/>
      <c r="W239" s="175"/>
      <c r="X239" s="176"/>
      <c r="Y239" s="175" t="s">
        <v>35</v>
      </c>
      <c r="Z239" s="302" t="s">
        <v>148</v>
      </c>
      <c r="AH239" s="71"/>
    </row>
    <row r="240" spans="1:34" outlineLevel="1">
      <c r="B240" s="172" t="s">
        <v>149</v>
      </c>
      <c r="C240" s="173"/>
      <c r="D240" s="173"/>
      <c r="E240" s="66"/>
      <c r="F240" s="329"/>
      <c r="G240" s="66"/>
      <c r="H240" s="66"/>
      <c r="I240" s="329"/>
      <c r="J240" s="66"/>
      <c r="K240" s="66"/>
      <c r="L240" s="329"/>
      <c r="M240" s="66"/>
      <c r="N240" s="66"/>
      <c r="O240" s="66"/>
      <c r="P240" s="59"/>
      <c r="Q240" s="59"/>
      <c r="R240" s="115"/>
      <c r="S240" s="115"/>
      <c r="T240" s="123"/>
      <c r="U240" s="174"/>
      <c r="V240" s="174"/>
      <c r="W240" s="175"/>
      <c r="X240" s="176"/>
      <c r="Y240" s="175" t="s">
        <v>35</v>
      </c>
      <c r="Z240" s="302" t="s">
        <v>148</v>
      </c>
      <c r="AH240" s="71"/>
    </row>
    <row r="241" spans="2:34" outlineLevel="1">
      <c r="B241" s="172" t="s">
        <v>150</v>
      </c>
      <c r="C241" s="173"/>
      <c r="D241" s="173"/>
      <c r="E241" s="66"/>
      <c r="F241" s="329"/>
      <c r="G241" s="66"/>
      <c r="H241" s="66"/>
      <c r="I241" s="329"/>
      <c r="J241" s="66"/>
      <c r="K241" s="66"/>
      <c r="L241" s="329"/>
      <c r="M241" s="66"/>
      <c r="N241" s="66"/>
      <c r="O241" s="66"/>
      <c r="P241" s="59"/>
      <c r="Q241" s="59"/>
      <c r="R241" s="115"/>
      <c r="S241" s="115"/>
      <c r="T241" s="123"/>
      <c r="U241" s="174"/>
      <c r="V241" s="174"/>
      <c r="W241" s="175"/>
      <c r="X241" s="176"/>
      <c r="Y241" s="175" t="s">
        <v>35</v>
      </c>
      <c r="Z241" s="302" t="s">
        <v>148</v>
      </c>
      <c r="AH241" s="71"/>
    </row>
    <row r="242" spans="2:34" outlineLevel="1">
      <c r="B242" s="172" t="s">
        <v>151</v>
      </c>
      <c r="C242" s="173"/>
      <c r="D242" s="173"/>
      <c r="E242" s="66"/>
      <c r="F242" s="329"/>
      <c r="G242" s="66"/>
      <c r="H242" s="66"/>
      <c r="I242" s="329"/>
      <c r="J242" s="66"/>
      <c r="K242" s="66"/>
      <c r="L242" s="329"/>
      <c r="M242" s="66"/>
      <c r="N242" s="66"/>
      <c r="O242" s="66"/>
      <c r="P242" s="59"/>
      <c r="Q242" s="59"/>
      <c r="R242" s="115"/>
      <c r="S242" s="115"/>
      <c r="T242" s="123"/>
      <c r="U242" s="174"/>
      <c r="V242" s="174"/>
      <c r="W242" s="175"/>
      <c r="X242" s="176"/>
      <c r="Y242" s="175" t="s">
        <v>35</v>
      </c>
      <c r="Z242" s="302" t="s">
        <v>152</v>
      </c>
      <c r="AA242" s="65"/>
      <c r="AH242" s="71"/>
    </row>
    <row r="243" spans="2:34" outlineLevel="1">
      <c r="B243" s="172" t="s">
        <v>153</v>
      </c>
      <c r="C243" s="173"/>
      <c r="D243" s="173"/>
      <c r="E243" s="66"/>
      <c r="F243" s="329"/>
      <c r="G243" s="66"/>
      <c r="H243" s="66"/>
      <c r="I243" s="329"/>
      <c r="J243" s="66"/>
      <c r="K243" s="66"/>
      <c r="L243" s="329"/>
      <c r="M243" s="66"/>
      <c r="N243" s="66"/>
      <c r="O243" s="66"/>
      <c r="P243" s="59"/>
      <c r="Q243" s="59"/>
      <c r="R243" s="115"/>
      <c r="S243" s="115"/>
      <c r="T243" s="123"/>
      <c r="U243" s="174"/>
      <c r="V243" s="174"/>
      <c r="W243" s="175"/>
      <c r="X243" s="176"/>
      <c r="Y243" s="175" t="s">
        <v>35</v>
      </c>
      <c r="Z243" s="302" t="s">
        <v>152</v>
      </c>
      <c r="AH243" s="71"/>
    </row>
    <row r="244" spans="2:34" outlineLevel="1">
      <c r="B244" s="172" t="s">
        <v>154</v>
      </c>
      <c r="C244" s="173"/>
      <c r="D244" s="173"/>
      <c r="E244" s="66"/>
      <c r="F244" s="329"/>
      <c r="G244" s="66"/>
      <c r="H244" s="66"/>
      <c r="I244" s="329"/>
      <c r="J244" s="66"/>
      <c r="K244" s="66"/>
      <c r="L244" s="329"/>
      <c r="M244" s="66"/>
      <c r="N244" s="66"/>
      <c r="O244" s="66"/>
      <c r="P244" s="59"/>
      <c r="Q244" s="59"/>
      <c r="R244" s="115"/>
      <c r="S244" s="115"/>
      <c r="T244" s="123"/>
      <c r="U244" s="174"/>
      <c r="V244" s="174"/>
      <c r="W244" s="175"/>
      <c r="X244" s="176"/>
      <c r="Y244" s="175" t="s">
        <v>35</v>
      </c>
      <c r="Z244" s="302" t="s">
        <v>152</v>
      </c>
      <c r="AH244" s="71"/>
    </row>
    <row r="245" spans="2:34" ht="25.5" outlineLevel="1">
      <c r="B245" s="172" t="s">
        <v>155</v>
      </c>
      <c r="C245" s="173"/>
      <c r="D245" s="173"/>
      <c r="E245" s="66"/>
      <c r="F245" s="329"/>
      <c r="G245" s="66"/>
      <c r="H245" s="66"/>
      <c r="I245" s="329"/>
      <c r="J245" s="66"/>
      <c r="K245" s="66"/>
      <c r="L245" s="329"/>
      <c r="M245" s="66"/>
      <c r="N245" s="66"/>
      <c r="O245" s="66"/>
      <c r="P245" s="59"/>
      <c r="Q245" s="59"/>
      <c r="R245" s="115"/>
      <c r="S245" s="115"/>
      <c r="T245" s="123"/>
      <c r="U245" s="174"/>
      <c r="V245" s="174"/>
      <c r="W245" s="175"/>
      <c r="X245" s="176"/>
      <c r="Y245" s="175" t="s">
        <v>35</v>
      </c>
      <c r="Z245" s="302" t="s">
        <v>156</v>
      </c>
      <c r="AH245" s="71"/>
    </row>
    <row r="246" spans="2:34" ht="25.5" outlineLevel="1">
      <c r="B246" s="172" t="s">
        <v>157</v>
      </c>
      <c r="C246" s="173"/>
      <c r="D246" s="173"/>
      <c r="E246" s="66"/>
      <c r="F246" s="329"/>
      <c r="G246" s="66"/>
      <c r="H246" s="66"/>
      <c r="I246" s="329"/>
      <c r="J246" s="66"/>
      <c r="K246" s="66"/>
      <c r="L246" s="329"/>
      <c r="M246" s="66"/>
      <c r="N246" s="66"/>
      <c r="O246" s="66"/>
      <c r="P246" s="59"/>
      <c r="Q246" s="59"/>
      <c r="R246" s="115"/>
      <c r="S246" s="115"/>
      <c r="T246" s="123"/>
      <c r="U246" s="174"/>
      <c r="V246" s="174"/>
      <c r="W246" s="175"/>
      <c r="X246" s="176"/>
      <c r="Y246" s="175" t="s">
        <v>35</v>
      </c>
      <c r="Z246" s="302" t="s">
        <v>156</v>
      </c>
      <c r="AA246" s="65"/>
      <c r="AH246" s="71"/>
    </row>
    <row r="247" spans="2:34" ht="25.5" outlineLevel="1">
      <c r="B247" s="172" t="s">
        <v>158</v>
      </c>
      <c r="C247" s="173"/>
      <c r="D247" s="173"/>
      <c r="E247" s="66"/>
      <c r="F247" s="329"/>
      <c r="G247" s="66"/>
      <c r="H247" s="66"/>
      <c r="I247" s="329"/>
      <c r="J247" s="66"/>
      <c r="K247" s="66"/>
      <c r="L247" s="329"/>
      <c r="M247" s="66"/>
      <c r="N247" s="66"/>
      <c r="O247" s="66"/>
      <c r="P247" s="59"/>
      <c r="Q247" s="59"/>
      <c r="R247" s="115"/>
      <c r="S247" s="115"/>
      <c r="T247" s="123"/>
      <c r="U247" s="174"/>
      <c r="V247" s="174"/>
      <c r="W247" s="175"/>
      <c r="X247" s="176"/>
      <c r="Y247" s="175" t="s">
        <v>35</v>
      </c>
      <c r="Z247" s="302" t="s">
        <v>156</v>
      </c>
      <c r="AH247" s="71"/>
    </row>
    <row r="248" spans="2:34" outlineLevel="1">
      <c r="B248" s="172" t="s">
        <v>159</v>
      </c>
      <c r="C248" s="173"/>
      <c r="D248" s="173"/>
      <c r="E248" s="66"/>
      <c r="F248" s="329"/>
      <c r="G248" s="66"/>
      <c r="H248" s="66"/>
      <c r="I248" s="329"/>
      <c r="J248" s="66"/>
      <c r="K248" s="66"/>
      <c r="L248" s="329"/>
      <c r="M248" s="66"/>
      <c r="N248" s="66"/>
      <c r="O248" s="66"/>
      <c r="P248" s="59"/>
      <c r="Q248" s="59"/>
      <c r="R248" s="115"/>
      <c r="S248" s="115"/>
      <c r="T248" s="123"/>
      <c r="U248" s="174"/>
      <c r="V248" s="174"/>
      <c r="W248" s="175"/>
      <c r="X248" s="176"/>
      <c r="Y248" s="175" t="s">
        <v>35</v>
      </c>
      <c r="Z248" s="302" t="s">
        <v>160</v>
      </c>
      <c r="AH248" s="71"/>
    </row>
    <row r="249" spans="2:34" outlineLevel="1">
      <c r="B249" s="172" t="s">
        <v>161</v>
      </c>
      <c r="C249" s="173"/>
      <c r="D249" s="173"/>
      <c r="E249" s="66"/>
      <c r="F249" s="329"/>
      <c r="G249" s="66"/>
      <c r="H249" s="66"/>
      <c r="I249" s="329"/>
      <c r="J249" s="66"/>
      <c r="K249" s="66"/>
      <c r="L249" s="329"/>
      <c r="M249" s="66"/>
      <c r="N249" s="66"/>
      <c r="O249" s="66"/>
      <c r="P249" s="59"/>
      <c r="Q249" s="59"/>
      <c r="R249" s="115"/>
      <c r="S249" s="115"/>
      <c r="T249" s="123"/>
      <c r="U249" s="174"/>
      <c r="V249" s="174"/>
      <c r="W249" s="175"/>
      <c r="X249" s="176"/>
      <c r="Y249" s="175" t="s">
        <v>35</v>
      </c>
      <c r="Z249" s="302" t="s">
        <v>160</v>
      </c>
      <c r="AH249" s="71"/>
    </row>
    <row r="250" spans="2:34" outlineLevel="1">
      <c r="B250" s="172" t="s">
        <v>162</v>
      </c>
      <c r="C250" s="173"/>
      <c r="D250" s="173"/>
      <c r="E250" s="66"/>
      <c r="F250" s="329"/>
      <c r="G250" s="66"/>
      <c r="H250" s="66"/>
      <c r="I250" s="329"/>
      <c r="J250" s="66"/>
      <c r="K250" s="66"/>
      <c r="L250" s="329"/>
      <c r="M250" s="66"/>
      <c r="N250" s="66"/>
      <c r="O250" s="66"/>
      <c r="P250" s="59"/>
      <c r="Q250" s="59"/>
      <c r="R250" s="115"/>
      <c r="S250" s="115"/>
      <c r="T250" s="123"/>
      <c r="U250" s="174"/>
      <c r="V250" s="174"/>
      <c r="W250" s="175"/>
      <c r="X250" s="176"/>
      <c r="Y250" s="175" t="s">
        <v>35</v>
      </c>
      <c r="Z250" s="302" t="s">
        <v>160</v>
      </c>
      <c r="AA250" s="65"/>
      <c r="AH250" s="71"/>
    </row>
    <row r="251" spans="2:34" outlineLevel="1">
      <c r="B251" s="172" t="s">
        <v>163</v>
      </c>
      <c r="C251" s="173"/>
      <c r="D251" s="173"/>
      <c r="E251" s="66"/>
      <c r="F251" s="329"/>
      <c r="G251" s="66"/>
      <c r="H251" s="66"/>
      <c r="I251" s="329"/>
      <c r="J251" s="66"/>
      <c r="K251" s="66"/>
      <c r="L251" s="329"/>
      <c r="M251" s="66"/>
      <c r="N251" s="66"/>
      <c r="O251" s="66"/>
      <c r="P251" s="59"/>
      <c r="Q251" s="59"/>
      <c r="R251" s="115"/>
      <c r="S251" s="115"/>
      <c r="T251" s="123"/>
      <c r="U251" s="174"/>
      <c r="V251" s="174" t="s">
        <v>51</v>
      </c>
      <c r="W251" s="175"/>
      <c r="X251" s="176"/>
      <c r="Y251" s="175" t="s">
        <v>35</v>
      </c>
      <c r="Z251" s="302" t="s">
        <v>164</v>
      </c>
      <c r="AH251" s="71"/>
    </row>
    <row r="252" spans="2:34" outlineLevel="1">
      <c r="B252" s="172" t="s">
        <v>165</v>
      </c>
      <c r="C252" s="173"/>
      <c r="D252" s="173"/>
      <c r="E252" s="66"/>
      <c r="F252" s="329"/>
      <c r="G252" s="66"/>
      <c r="H252" s="66"/>
      <c r="I252" s="329"/>
      <c r="J252" s="66"/>
      <c r="K252" s="66"/>
      <c r="L252" s="329"/>
      <c r="M252" s="66"/>
      <c r="N252" s="66"/>
      <c r="O252" s="66"/>
      <c r="P252" s="59"/>
      <c r="Q252" s="59"/>
      <c r="R252" s="115"/>
      <c r="S252" s="115"/>
      <c r="T252" s="123"/>
      <c r="U252" s="174"/>
      <c r="V252" s="174" t="s">
        <v>51</v>
      </c>
      <c r="W252" s="175"/>
      <c r="X252" s="176"/>
      <c r="Y252" s="175" t="s">
        <v>35</v>
      </c>
      <c r="Z252" s="302" t="s">
        <v>164</v>
      </c>
      <c r="AH252" s="71"/>
    </row>
    <row r="253" spans="2:34" outlineLevel="1">
      <c r="B253" s="172" t="s">
        <v>166</v>
      </c>
      <c r="C253" s="173"/>
      <c r="D253" s="173"/>
      <c r="E253" s="66"/>
      <c r="F253" s="329"/>
      <c r="G253" s="66"/>
      <c r="H253" s="66"/>
      <c r="I253" s="329"/>
      <c r="J253" s="66"/>
      <c r="K253" s="66"/>
      <c r="L253" s="329"/>
      <c r="M253" s="66"/>
      <c r="N253" s="66"/>
      <c r="O253" s="66"/>
      <c r="P253" s="59"/>
      <c r="Q253" s="59"/>
      <c r="R253" s="115"/>
      <c r="S253" s="115"/>
      <c r="T253" s="123"/>
      <c r="U253" s="174"/>
      <c r="V253" s="174" t="s">
        <v>51</v>
      </c>
      <c r="W253" s="175"/>
      <c r="X253" s="176"/>
      <c r="Y253" s="175" t="s">
        <v>35</v>
      </c>
      <c r="Z253" s="302" t="s">
        <v>164</v>
      </c>
      <c r="AH253" s="71"/>
    </row>
    <row r="254" spans="2:34" outlineLevel="1">
      <c r="B254" s="172" t="s">
        <v>310</v>
      </c>
      <c r="C254" s="173"/>
      <c r="D254" s="173"/>
      <c r="E254" s="66"/>
      <c r="F254" s="329"/>
      <c r="G254" s="66"/>
      <c r="H254" s="66"/>
      <c r="I254" s="329"/>
      <c r="J254" s="66"/>
      <c r="K254" s="66"/>
      <c r="L254" s="329"/>
      <c r="M254" s="66"/>
      <c r="N254" s="66"/>
      <c r="O254" s="66"/>
      <c r="P254" s="59"/>
      <c r="Q254" s="59"/>
      <c r="R254" s="115"/>
      <c r="S254" s="115"/>
      <c r="T254" s="123"/>
      <c r="U254" s="174"/>
      <c r="V254" s="174" t="s">
        <v>51</v>
      </c>
      <c r="W254" s="175"/>
      <c r="X254" s="176"/>
      <c r="Y254" s="175" t="s">
        <v>35</v>
      </c>
      <c r="Z254" s="302" t="s">
        <v>164</v>
      </c>
      <c r="AA254" s="65"/>
      <c r="AH254" s="71"/>
    </row>
  </sheetData>
  <sheetProtection selectLockedCells="1" selectUnlockedCells="1"/>
  <customSheetViews>
    <customSheetView guid="{30C352BF-A10A-4289-B356-2E490539740C}" scale="65" showPageBreaks="1">
      <pane xSplit="4" ySplit="7" topLeftCell="E173" activePane="bottomRight" state="frozen"/>
      <selection pane="bottomRight" activeCell="AB224" sqref="AB224"/>
      <rowBreaks count="3" manualBreakCount="3">
        <brk id="54" max="16383" man="1"/>
        <brk id="153" max="16383" man="1"/>
        <brk id="266" max="16383" man="1"/>
      </rowBreaks>
      <colBreaks count="3" manualBreakCount="3">
        <brk id="14" max="1048575" man="1"/>
        <brk id="18" max="1048575" man="1"/>
        <brk id="25" max="1048575" man="1"/>
      </colBreaks>
      <pageMargins left="0.25" right="0.25" top="0.5" bottom="0.5" header="0.51180555555555551" footer="0.25"/>
      <pageSetup scale="36" firstPageNumber="0" orientation="landscape" horizontalDpi="300" verticalDpi="300" r:id="rId1"/>
      <headerFooter alignWithMargins="0">
        <oddFooter>&amp;L&amp;F&amp;C&amp;A&amp;RPage &amp;P of &amp;N</oddFooter>
      </headerFooter>
    </customSheetView>
    <customSheetView guid="{D83F854B-92AD-41EB-946D-8298095D5E81}" scale="65" showPageBreaks="1">
      <pane xSplit="4" ySplit="7" topLeftCell="E8" activePane="bottomRight" state="frozen"/>
      <selection pane="bottomRight" activeCell="Q98" sqref="Q98"/>
    </customSheetView>
  </customSheetViews>
  <mergeCells count="5">
    <mergeCell ref="E7:G7"/>
    <mergeCell ref="H7:J7"/>
    <mergeCell ref="K7:M7"/>
    <mergeCell ref="N7:O7"/>
    <mergeCell ref="R5:V5"/>
  </mergeCells>
  <pageMargins left="0.25" right="0.25" top="0.5" bottom="0.5" header="0.51180555555555596" footer="0.25"/>
  <pageSetup paperSize="17" scale="45" firstPageNumber="0" orientation="landscape" horizontalDpi="300" verticalDpi="300" r:id="rId2"/>
  <headerFooter alignWithMargins="0">
    <oddFooter>&amp;L&amp;F&amp;CHard copies of this document are for REFERENCE ONLY and should not be considered the latest version beyond the date of printing.&amp;RPage &amp;P of &amp;N</oddFooter>
  </headerFooter>
  <ignoredErrors>
    <ignoredError sqref="B2:B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26"/>
  <sheetViews>
    <sheetView workbookViewId="0">
      <selection activeCell="B33" sqref="B33"/>
    </sheetView>
  </sheetViews>
  <sheetFormatPr defaultRowHeight="12.75"/>
  <cols>
    <col min="1" max="1" width="10.5703125" style="46" customWidth="1"/>
    <col min="2" max="2" width="128.85546875" style="45" customWidth="1"/>
  </cols>
  <sheetData>
    <row r="3" spans="1:2">
      <c r="B3" s="227" t="s">
        <v>251</v>
      </c>
    </row>
    <row r="4" spans="1:2">
      <c r="A4" s="46" t="s">
        <v>306</v>
      </c>
      <c r="B4" s="225" t="s">
        <v>252</v>
      </c>
    </row>
    <row r="5" spans="1:2">
      <c r="A5" s="46" t="s">
        <v>306</v>
      </c>
      <c r="B5" s="225" t="s">
        <v>253</v>
      </c>
    </row>
    <row r="6" spans="1:2">
      <c r="A6" s="46" t="s">
        <v>306</v>
      </c>
      <c r="B6" s="225" t="s">
        <v>254</v>
      </c>
    </row>
    <row r="7" spans="1:2">
      <c r="B7" s="225"/>
    </row>
    <row r="8" spans="1:2">
      <c r="B8" s="225"/>
    </row>
    <row r="9" spans="1:2">
      <c r="B9" s="240" t="s">
        <v>401</v>
      </c>
    </row>
    <row r="10" spans="1:2">
      <c r="B10" s="240" t="s">
        <v>255</v>
      </c>
    </row>
    <row r="11" spans="1:2">
      <c r="B11" s="240" t="s">
        <v>256</v>
      </c>
    </row>
    <row r="13" spans="1:2">
      <c r="B13" s="227" t="s">
        <v>257</v>
      </c>
    </row>
    <row r="14" spans="1:2">
      <c r="A14" s="46" t="s">
        <v>306</v>
      </c>
      <c r="B14" s="225" t="s">
        <v>259</v>
      </c>
    </row>
    <row r="15" spans="1:2">
      <c r="A15" s="46" t="s">
        <v>306</v>
      </c>
      <c r="B15" s="225" t="s">
        <v>260</v>
      </c>
    </row>
    <row r="16" spans="1:2">
      <c r="A16" s="46" t="s">
        <v>306</v>
      </c>
      <c r="B16" s="225" t="s">
        <v>261</v>
      </c>
    </row>
    <row r="17" spans="1:2" ht="25.5">
      <c r="A17" s="46" t="s">
        <v>306</v>
      </c>
      <c r="B17" s="225" t="s">
        <v>322</v>
      </c>
    </row>
    <row r="18" spans="1:2" ht="25.5">
      <c r="A18" s="46" t="s">
        <v>306</v>
      </c>
      <c r="B18" s="225" t="s">
        <v>323</v>
      </c>
    </row>
    <row r="19" spans="1:2">
      <c r="A19" s="46" t="s">
        <v>306</v>
      </c>
      <c r="B19" s="225" t="s">
        <v>262</v>
      </c>
    </row>
    <row r="20" spans="1:2" ht="25.5">
      <c r="A20" s="46" t="s">
        <v>306</v>
      </c>
      <c r="B20" s="225" t="s">
        <v>320</v>
      </c>
    </row>
    <row r="22" spans="1:2">
      <c r="A22" s="46" t="s">
        <v>306</v>
      </c>
      <c r="B22" s="45" t="s">
        <v>258</v>
      </c>
    </row>
    <row r="24" spans="1:2">
      <c r="B24" s="45" t="s">
        <v>250</v>
      </c>
    </row>
    <row r="25" spans="1:2">
      <c r="B25" s="225" t="s">
        <v>263</v>
      </c>
    </row>
    <row r="26" spans="1:2">
      <c r="B26" s="225" t="s">
        <v>264</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Title Page</vt:lpstr>
      <vt:lpstr>Image Quality Error Tree</vt:lpstr>
      <vt:lpstr>Sheet1</vt:lpstr>
      <vt:lpstr>__xlnm.Print_Area_1</vt:lpstr>
      <vt:lpstr>'Image Quality Error Tree'!Print_Area</vt:lpstr>
      <vt:lpstr>'Title Page'!Print_Area</vt:lpstr>
      <vt:lpstr>'Image Quality Error Tree'!Print_Titles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Riot, Vincent J.</dc:creator>
  <cp:lastModifiedBy>Riot, Vincent J.</cp:lastModifiedBy>
  <cp:lastPrinted>2019-04-24T14:51:45Z</cp:lastPrinted>
  <dcterms:created xsi:type="dcterms:W3CDTF">2009-09-30T21:15:49Z</dcterms:created>
  <dcterms:modified xsi:type="dcterms:W3CDTF">2019-06-28T16:55:29Z</dcterms:modified>
</cp:coreProperties>
</file>