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33465" windowHeight="14640" tabRatio="694"/>
  </bookViews>
  <sheets>
    <sheet name="1.  Intro, Defs, Change Log" sheetId="4" r:id="rId1"/>
    <sheet name="2. Alignment Summary" sheetId="3" r:id="rId2"/>
    <sheet name="3. Ass'y, Alignment Stack-ups" sheetId="5" r:id="rId3"/>
    <sheet name="4. Constituent Tolerances" sheetId="1" r:id="rId4"/>
    <sheet name="5. Key Interface Dimensions" sheetId="7" r:id="rId5"/>
    <sheet name="6. Cool-Down Thermal Motions" sheetId="8" r:id="rId6"/>
  </sheets>
  <definedNames>
    <definedName name="Aluminum">2.71</definedName>
    <definedName name="AlumNitride">3.3</definedName>
    <definedName name="Copper">8.9</definedName>
    <definedName name="Criteria1" localSheetId="2">#REF!</definedName>
    <definedName name="Criteria1">#REF!</definedName>
    <definedName name="Criteria2" localSheetId="2">#REF!</definedName>
    <definedName name="Criteria2">#REF!</definedName>
    <definedName name="Criteria3" localSheetId="2">#REF!</definedName>
    <definedName name="Criteria3">#REF!</definedName>
    <definedName name="_xlnm.Database" localSheetId="2">#REF!</definedName>
    <definedName name="_xlnm.Database">#REF!</definedName>
    <definedName name="Database1" localSheetId="2">#REF!</definedName>
    <definedName name="Database1">#REF!</definedName>
    <definedName name="FusedSilica">2.2</definedName>
    <definedName name="Invar">8.03</definedName>
    <definedName name="PCP">1.8</definedName>
    <definedName name="Phase" localSheetId="2">#REF!</definedName>
    <definedName name="Phase">#REF!</definedName>
    <definedName name="Phase_list" localSheetId="2">#REF!</definedName>
    <definedName name="Phase_list">#REF!</definedName>
    <definedName name="Pre_CDR" localSheetId="2">#REF!</definedName>
    <definedName name="Pre_CDR">#REF!</definedName>
    <definedName name="Pre_PDR" localSheetId="2">#REF!</definedName>
    <definedName name="Pre_PDR">#REF!</definedName>
    <definedName name="Pre_PRR" localSheetId="2">#REF!</definedName>
    <definedName name="Pre_PRR">#REF!</definedName>
    <definedName name="_xlnm.Print_Area" localSheetId="0">'1.  Intro, Defs, Change Log'!$B$2:$E$99</definedName>
    <definedName name="_xlnm.Print_Area" localSheetId="1">'2. Alignment Summary'!$B$2:$J$18</definedName>
    <definedName name="_xlnm.Print_Area" localSheetId="2">'3. Ass''y, Alignment Stack-ups'!$B$2:$N$186</definedName>
    <definedName name="_xlnm.Print_Area" localSheetId="3">'4. Constituent Tolerances'!$B$2:$N$71</definedName>
    <definedName name="_xlnm.Print_Area" localSheetId="4">'5. Key Interface Dimensions'!$B$2:$G$39</definedName>
    <definedName name="_xlnm.Print_Area" localSheetId="5">'6. Cool-Down Thermal Motions'!$B$2:$I$52</definedName>
    <definedName name="_xlnm.Print_Titles" localSheetId="1">'2. Alignment Summary'!$5:$6</definedName>
    <definedName name="_xlnm.Print_Titles" localSheetId="2">'3. Ass''y, Alignment Stack-ups'!$6:$6</definedName>
    <definedName name="_xlnm.Print_Titles" localSheetId="3">'4. Constituent Tolerances'!$6:$6</definedName>
    <definedName name="_xlnm.Print_Titles" localSheetId="4">'5. Key Interface Dimensions'!$5:$6</definedName>
    <definedName name="_xlnm.Print_Titles" localSheetId="5">'6. Cool-Down Thermal Motions'!$6:$7</definedName>
    <definedName name="SiC">3.15</definedName>
    <definedName name="Silicon">2.33</definedName>
    <definedName name="Steel">7.8</definedName>
    <definedName name="Titanium">4.4</definedName>
  </definedNames>
  <calcPr calcId="162913"/>
</workbook>
</file>

<file path=xl/calcChain.xml><?xml version="1.0" encoding="utf-8"?>
<calcChain xmlns="http://schemas.openxmlformats.org/spreadsheetml/2006/main">
  <c r="K181" i="5" l="1"/>
  <c r="J181" i="5"/>
  <c r="K180" i="5"/>
  <c r="J180" i="5"/>
  <c r="K179" i="5"/>
  <c r="J179" i="5"/>
  <c r="K178" i="5"/>
  <c r="J178" i="5"/>
  <c r="K177" i="5"/>
  <c r="J177" i="5"/>
  <c r="K172" i="5"/>
  <c r="K171" i="5"/>
  <c r="J171" i="5"/>
  <c r="K170" i="5"/>
  <c r="J170" i="5"/>
  <c r="K169" i="5"/>
  <c r="J169" i="5"/>
  <c r="K168" i="5"/>
  <c r="J168" i="5"/>
  <c r="K163" i="5"/>
  <c r="J163" i="5"/>
  <c r="K162" i="5"/>
  <c r="J162" i="5"/>
  <c r="K161" i="5"/>
  <c r="J161" i="5"/>
  <c r="K160" i="5"/>
  <c r="J160" i="5"/>
  <c r="K159" i="5"/>
  <c r="J159" i="5"/>
  <c r="K154" i="5"/>
  <c r="J154" i="5"/>
  <c r="K153" i="5"/>
  <c r="J153" i="5"/>
  <c r="K152" i="5"/>
  <c r="J152" i="5"/>
  <c r="K151" i="5"/>
  <c r="J151" i="5"/>
  <c r="K150" i="5"/>
  <c r="J150" i="5"/>
  <c r="K149" i="5"/>
  <c r="J149" i="5"/>
  <c r="K148" i="5"/>
  <c r="J148" i="5"/>
  <c r="K147" i="5"/>
  <c r="J147" i="5"/>
  <c r="K140" i="5"/>
  <c r="J140" i="5"/>
  <c r="K139" i="5"/>
  <c r="J139" i="5"/>
  <c r="K138" i="5"/>
  <c r="J138" i="5"/>
  <c r="K137" i="5"/>
  <c r="J137" i="5"/>
  <c r="K136" i="5"/>
  <c r="J136" i="5"/>
  <c r="K135" i="5"/>
  <c r="J135" i="5"/>
  <c r="K134" i="5"/>
  <c r="J134" i="5"/>
  <c r="K133" i="5"/>
  <c r="J133" i="5"/>
  <c r="K132" i="5"/>
  <c r="J132" i="5"/>
  <c r="K131" i="5"/>
  <c r="K141" i="5" s="1"/>
  <c r="J131" i="5"/>
  <c r="K126" i="5"/>
  <c r="J126" i="5"/>
  <c r="K125" i="5"/>
  <c r="J125" i="5"/>
  <c r="K124" i="5"/>
  <c r="J124" i="5"/>
  <c r="J128" i="5" s="1"/>
  <c r="K118" i="5"/>
  <c r="J118" i="5"/>
  <c r="K117" i="5"/>
  <c r="J117" i="5"/>
  <c r="K116" i="5"/>
  <c r="J116" i="5"/>
  <c r="J120" i="5" s="1"/>
  <c r="K110" i="5"/>
  <c r="J110" i="5"/>
  <c r="K109" i="5"/>
  <c r="J109" i="5"/>
  <c r="J112" i="5" s="1"/>
  <c r="K108" i="5"/>
  <c r="J108" i="5"/>
  <c r="K102" i="5"/>
  <c r="J102" i="5"/>
  <c r="K101" i="5"/>
  <c r="J101" i="5"/>
  <c r="K95" i="5"/>
  <c r="J95" i="5"/>
  <c r="K94" i="5"/>
  <c r="J94" i="5"/>
  <c r="K93" i="5"/>
  <c r="J93" i="5"/>
  <c r="K92" i="5"/>
  <c r="J92" i="5"/>
  <c r="K91" i="5"/>
  <c r="J91" i="5"/>
  <c r="K85" i="5"/>
  <c r="J85" i="5"/>
  <c r="K84" i="5"/>
  <c r="J84" i="5"/>
  <c r="K83" i="5"/>
  <c r="J83" i="5"/>
  <c r="K82" i="5"/>
  <c r="J82" i="5"/>
  <c r="J81" i="5"/>
  <c r="K80" i="5"/>
  <c r="J80" i="5"/>
  <c r="K69" i="5"/>
  <c r="J69" i="5"/>
  <c r="K68" i="5"/>
  <c r="J68" i="5"/>
  <c r="K67" i="5"/>
  <c r="J67" i="5"/>
  <c r="K66" i="5"/>
  <c r="J66" i="5"/>
  <c r="K65" i="5"/>
  <c r="J65" i="5"/>
  <c r="K64" i="5"/>
  <c r="J64" i="5"/>
  <c r="K63" i="5"/>
  <c r="J63" i="5"/>
  <c r="K62" i="5"/>
  <c r="J62" i="5"/>
  <c r="K61" i="5"/>
  <c r="J61" i="5"/>
  <c r="K54" i="5"/>
  <c r="J54" i="5"/>
  <c r="K53" i="5"/>
  <c r="J53" i="5"/>
  <c r="K52" i="5"/>
  <c r="J52" i="5"/>
  <c r="K51" i="5"/>
  <c r="J51" i="5"/>
  <c r="K50" i="5"/>
  <c r="J50" i="5"/>
  <c r="K49" i="5"/>
  <c r="J49" i="5"/>
  <c r="K48" i="5"/>
  <c r="J48" i="5"/>
  <c r="K47" i="5"/>
  <c r="J47" i="5"/>
  <c r="K46" i="5"/>
  <c r="J46" i="5"/>
  <c r="K45" i="5"/>
  <c r="J45" i="5"/>
  <c r="K44" i="5"/>
  <c r="J44" i="5"/>
  <c r="K43" i="5"/>
  <c r="J43" i="5"/>
  <c r="K38" i="5"/>
  <c r="J38" i="5"/>
  <c r="K37" i="5"/>
  <c r="J37" i="5"/>
  <c r="K36" i="5"/>
  <c r="J36" i="5"/>
  <c r="K35" i="5"/>
  <c r="J35" i="5"/>
  <c r="K34" i="5"/>
  <c r="J34" i="5"/>
  <c r="K33" i="5"/>
  <c r="J33" i="5"/>
  <c r="K32" i="5"/>
  <c r="J32" i="5"/>
  <c r="K31" i="5"/>
  <c r="J31" i="5"/>
  <c r="K30" i="5"/>
  <c r="J30" i="5"/>
  <c r="K29" i="5"/>
  <c r="J29" i="5"/>
  <c r="J39" i="5" s="1"/>
  <c r="K28" i="5"/>
  <c r="K40" i="5" s="1"/>
  <c r="K77" i="5" s="1"/>
  <c r="J28" i="5"/>
  <c r="K23" i="5"/>
  <c r="K25" i="5" s="1"/>
  <c r="J23" i="5"/>
  <c r="K22" i="5"/>
  <c r="J22" i="5"/>
  <c r="K21" i="5"/>
  <c r="J21" i="5"/>
  <c r="J24" i="5" s="1"/>
  <c r="K17" i="5"/>
  <c r="K16" i="5"/>
  <c r="J16" i="5"/>
  <c r="K15" i="5"/>
  <c r="J15" i="5"/>
  <c r="K14" i="5"/>
  <c r="J14" i="5"/>
  <c r="J18" i="5" s="1"/>
  <c r="K11" i="5"/>
  <c r="J11" i="5"/>
  <c r="K9" i="5"/>
  <c r="K10" i="5" s="1"/>
  <c r="J9" i="5"/>
  <c r="K8" i="5"/>
  <c r="J8" i="5"/>
  <c r="J10" i="5" s="1"/>
  <c r="J142" i="5" l="1"/>
  <c r="K156" i="5"/>
  <c r="J155" i="5"/>
  <c r="J105" i="5"/>
  <c r="K104" i="5"/>
  <c r="J97" i="5"/>
  <c r="K173" i="5"/>
  <c r="J182" i="5"/>
  <c r="J174" i="5"/>
  <c r="K18" i="5"/>
  <c r="K39" i="5"/>
  <c r="K76" i="5" s="1"/>
  <c r="K143" i="5" s="1"/>
  <c r="J87" i="5"/>
  <c r="J127" i="5"/>
  <c r="J96" i="5"/>
  <c r="J113" i="5"/>
  <c r="K121" i="5"/>
  <c r="K142" i="5"/>
  <c r="K144" i="5" s="1"/>
  <c r="K164" i="5"/>
  <c r="K24" i="5"/>
  <c r="K127" i="5"/>
  <c r="K183" i="5"/>
  <c r="J25" i="5"/>
  <c r="J56" i="5"/>
  <c r="J77" i="5" s="1"/>
  <c r="J55" i="5"/>
  <c r="J76" i="5" s="1"/>
  <c r="J143" i="5" s="1"/>
  <c r="K87" i="5"/>
  <c r="K113" i="5"/>
  <c r="J156" i="5"/>
  <c r="J165" i="5"/>
  <c r="J183" i="5"/>
  <c r="J104" i="5"/>
  <c r="K165" i="5"/>
  <c r="K56" i="5"/>
  <c r="K120" i="5"/>
  <c r="K155" i="5"/>
  <c r="J17" i="5"/>
  <c r="J40" i="5"/>
  <c r="K88" i="5"/>
  <c r="K97" i="5"/>
  <c r="K105" i="5"/>
  <c r="J121" i="5"/>
  <c r="K128" i="5"/>
  <c r="J71" i="5"/>
  <c r="J70" i="5"/>
  <c r="J173" i="5"/>
  <c r="J88" i="5"/>
  <c r="J144" i="5"/>
  <c r="K96" i="5"/>
  <c r="K55" i="5"/>
  <c r="K112" i="5"/>
  <c r="J164" i="5"/>
  <c r="K174" i="5"/>
  <c r="J141" i="5"/>
  <c r="K182" i="5"/>
  <c r="N53" i="5"/>
  <c r="M53" i="5"/>
  <c r="L53" i="5"/>
  <c r="I53" i="5"/>
  <c r="H53" i="5"/>
  <c r="G53" i="5"/>
  <c r="F53" i="5"/>
  <c r="E53" i="5"/>
  <c r="D53" i="5"/>
  <c r="C53" i="5"/>
  <c r="B53" i="5"/>
  <c r="N64" i="5"/>
  <c r="M64" i="5"/>
  <c r="L64" i="5"/>
  <c r="I64" i="5"/>
  <c r="H64" i="5"/>
  <c r="G64" i="5"/>
  <c r="F64" i="5"/>
  <c r="E64" i="5"/>
  <c r="D64" i="5"/>
  <c r="C64" i="5"/>
  <c r="B64" i="5"/>
  <c r="F26" i="7" l="1"/>
  <c r="F25" i="7"/>
  <c r="D32" i="7"/>
  <c r="D37" i="7"/>
  <c r="D36" i="7"/>
  <c r="D42" i="7"/>
  <c r="D34" i="7"/>
  <c r="F19" i="7" l="1"/>
  <c r="F18" i="7"/>
  <c r="D39" i="7" l="1"/>
  <c r="D41" i="7" s="1"/>
  <c r="I2" i="8" l="1"/>
  <c r="G2" i="7"/>
  <c r="N2" i="1"/>
  <c r="N2" i="5"/>
  <c r="J2" i="3"/>
  <c r="F22" i="7" l="1"/>
  <c r="F14" i="7"/>
  <c r="D38" i="8" l="1"/>
  <c r="D26" i="8"/>
  <c r="D18" i="8"/>
  <c r="D16" i="8"/>
  <c r="D22" i="8" s="1"/>
  <c r="D21" i="8" s="1"/>
  <c r="D9" i="8"/>
  <c r="D19" i="8" l="1"/>
  <c r="D33" i="8"/>
  <c r="D37" i="8" s="1"/>
  <c r="D29" i="8"/>
  <c r="F37" i="7"/>
  <c r="D36" i="8" l="1"/>
  <c r="D41" i="8" s="1"/>
  <c r="D34" i="8"/>
  <c r="H38" i="8"/>
  <c r="G38" i="8"/>
  <c r="F38" i="8"/>
  <c r="E38" i="8"/>
  <c r="H26" i="8"/>
  <c r="G26" i="8"/>
  <c r="F26" i="8"/>
  <c r="E26" i="8"/>
  <c r="B21" i="8"/>
  <c r="B36" i="8"/>
  <c r="H18" i="8"/>
  <c r="G18" i="8"/>
  <c r="F18" i="8"/>
  <c r="E18" i="8"/>
  <c r="H16" i="8"/>
  <c r="H22" i="8" s="1"/>
  <c r="G16" i="8"/>
  <c r="G22" i="8" s="1"/>
  <c r="F16" i="8"/>
  <c r="F22" i="8" s="1"/>
  <c r="E16" i="8"/>
  <c r="E22" i="8" s="1"/>
  <c r="D40" i="8" l="1"/>
  <c r="D42" i="8"/>
  <c r="H33" i="8"/>
  <c r="H37" i="8" s="1"/>
  <c r="H36" i="8" s="1"/>
  <c r="G33" i="8"/>
  <c r="G37" i="8" s="1"/>
  <c r="G36" i="8" s="1"/>
  <c r="F33" i="8"/>
  <c r="F37" i="8" s="1"/>
  <c r="F36" i="8" s="1"/>
  <c r="E33" i="8"/>
  <c r="E37" i="8" s="1"/>
  <c r="E36" i="8" s="1"/>
  <c r="G9" i="8"/>
  <c r="G19" i="8" s="1"/>
  <c r="F9" i="8"/>
  <c r="F19" i="8" s="1"/>
  <c r="E9" i="8"/>
  <c r="E19" i="8" s="1"/>
  <c r="F34" i="8" l="1"/>
  <c r="G34" i="8"/>
  <c r="E34" i="8"/>
  <c r="H14" i="8"/>
  <c r="H9" i="8" s="1"/>
  <c r="H19" i="8" s="1"/>
  <c r="H21" i="8"/>
  <c r="H41" i="8" s="1"/>
  <c r="G21" i="8"/>
  <c r="G41" i="8" s="1"/>
  <c r="F21" i="8"/>
  <c r="F41" i="8" s="1"/>
  <c r="E21" i="8"/>
  <c r="E41" i="8" s="1"/>
  <c r="F29" i="8" l="1"/>
  <c r="E29" i="8"/>
  <c r="H34" i="8"/>
  <c r="H29" i="8"/>
  <c r="H40" i="8"/>
  <c r="G29" i="8"/>
  <c r="G40" i="8"/>
  <c r="F40" i="8"/>
  <c r="E40" i="8"/>
  <c r="Q31" i="5"/>
  <c r="Q30" i="5"/>
  <c r="Q46" i="5"/>
  <c r="Q45" i="5"/>
  <c r="Q132" i="5"/>
  <c r="Q131" i="5"/>
  <c r="Q147" i="5"/>
  <c r="E2" i="8" l="1"/>
  <c r="D2" i="7"/>
  <c r="I3" i="8" l="1"/>
  <c r="D38" i="7" l="1"/>
  <c r="F36" i="7"/>
  <c r="F34" i="7"/>
  <c r="E34" i="7"/>
  <c r="F33" i="7"/>
  <c r="D33" i="7"/>
  <c r="F32" i="7"/>
  <c r="F17" i="7"/>
  <c r="F9" i="7"/>
  <c r="G3" i="7"/>
  <c r="F42" i="7" l="1"/>
  <c r="F23" i="7"/>
  <c r="F39" i="7" s="1"/>
  <c r="F38" i="7"/>
  <c r="D52" i="8" l="1"/>
  <c r="F41" i="7"/>
  <c r="C181" i="5"/>
  <c r="D181" i="5"/>
  <c r="E181" i="5"/>
  <c r="F181" i="5"/>
  <c r="G181" i="5"/>
  <c r="I181" i="5"/>
  <c r="L181" i="5"/>
  <c r="M181" i="5"/>
  <c r="N181" i="5"/>
  <c r="B181" i="5"/>
  <c r="C177" i="5"/>
  <c r="D177" i="5"/>
  <c r="E177" i="5"/>
  <c r="G177" i="5"/>
  <c r="H177" i="5"/>
  <c r="I177" i="5"/>
  <c r="L177" i="5"/>
  <c r="M177" i="5"/>
  <c r="N177" i="5"/>
  <c r="C178" i="5"/>
  <c r="D178" i="5"/>
  <c r="E178" i="5"/>
  <c r="I178" i="5"/>
  <c r="L178" i="5"/>
  <c r="M178" i="5"/>
  <c r="N178" i="5"/>
  <c r="C179" i="5"/>
  <c r="D179" i="5"/>
  <c r="E179" i="5"/>
  <c r="F179" i="5"/>
  <c r="G179" i="5"/>
  <c r="H179" i="5"/>
  <c r="I179" i="5"/>
  <c r="L179" i="5"/>
  <c r="M179" i="5"/>
  <c r="N179" i="5"/>
  <c r="C180" i="5"/>
  <c r="D180" i="5"/>
  <c r="E180" i="5"/>
  <c r="F180" i="5"/>
  <c r="G180" i="5"/>
  <c r="H180" i="5"/>
  <c r="I180" i="5"/>
  <c r="L180" i="5"/>
  <c r="M180" i="5"/>
  <c r="N180" i="5"/>
  <c r="B180" i="5"/>
  <c r="B179" i="5"/>
  <c r="B178" i="5"/>
  <c r="B177" i="5"/>
  <c r="C172" i="5"/>
  <c r="D172" i="5"/>
  <c r="E172" i="5"/>
  <c r="F172" i="5"/>
  <c r="G172" i="5"/>
  <c r="I172" i="5"/>
  <c r="L172" i="5"/>
  <c r="M172" i="5"/>
  <c r="N172" i="5"/>
  <c r="B172" i="5"/>
  <c r="C168" i="5"/>
  <c r="D168" i="5"/>
  <c r="E168" i="5"/>
  <c r="G168" i="5"/>
  <c r="H168" i="5"/>
  <c r="I168" i="5"/>
  <c r="L168" i="5"/>
  <c r="M168" i="5"/>
  <c r="N168" i="5"/>
  <c r="C169" i="5"/>
  <c r="D169" i="5"/>
  <c r="E169" i="5"/>
  <c r="I169" i="5"/>
  <c r="L169" i="5"/>
  <c r="M169" i="5"/>
  <c r="N169" i="5"/>
  <c r="C170" i="5"/>
  <c r="D170" i="5"/>
  <c r="E170" i="5"/>
  <c r="F170" i="5"/>
  <c r="G170" i="5"/>
  <c r="H170" i="5"/>
  <c r="I170" i="5"/>
  <c r="L170" i="5"/>
  <c r="M170" i="5"/>
  <c r="N170" i="5"/>
  <c r="C171" i="5"/>
  <c r="D171" i="5"/>
  <c r="E171" i="5"/>
  <c r="F171" i="5"/>
  <c r="G171" i="5"/>
  <c r="H171" i="5"/>
  <c r="I171" i="5"/>
  <c r="L171" i="5"/>
  <c r="M171" i="5"/>
  <c r="N171" i="5"/>
  <c r="B171" i="5"/>
  <c r="B170" i="5"/>
  <c r="B169" i="5"/>
  <c r="B168" i="5"/>
  <c r="C163" i="5"/>
  <c r="D163" i="5"/>
  <c r="E163" i="5"/>
  <c r="F163" i="5"/>
  <c r="G163" i="5"/>
  <c r="I163" i="5"/>
  <c r="L163" i="5"/>
  <c r="M163" i="5"/>
  <c r="N163" i="5"/>
  <c r="B163" i="5"/>
  <c r="C162" i="5"/>
  <c r="D162" i="5"/>
  <c r="E162" i="5"/>
  <c r="F162" i="5"/>
  <c r="G162" i="5"/>
  <c r="H162" i="5"/>
  <c r="I162" i="5"/>
  <c r="L162" i="5"/>
  <c r="M162" i="5"/>
  <c r="N162" i="5"/>
  <c r="C161" i="5"/>
  <c r="D161" i="5"/>
  <c r="E161" i="5"/>
  <c r="F161" i="5"/>
  <c r="G161" i="5"/>
  <c r="H161" i="5"/>
  <c r="I161" i="5"/>
  <c r="L161" i="5"/>
  <c r="M161" i="5"/>
  <c r="N161" i="5"/>
  <c r="C160" i="5"/>
  <c r="D160" i="5"/>
  <c r="E160" i="5"/>
  <c r="I160" i="5"/>
  <c r="L160" i="5"/>
  <c r="M160" i="5"/>
  <c r="N160" i="5"/>
  <c r="C159" i="5"/>
  <c r="D159" i="5"/>
  <c r="E159" i="5"/>
  <c r="G159" i="5"/>
  <c r="H159" i="5"/>
  <c r="I159" i="5"/>
  <c r="L159" i="5"/>
  <c r="M159" i="5"/>
  <c r="N159" i="5"/>
  <c r="B162" i="5"/>
  <c r="B161" i="5"/>
  <c r="B160" i="5"/>
  <c r="B159" i="5"/>
  <c r="H32" i="1"/>
  <c r="H36" i="1"/>
  <c r="H163" i="5" s="1"/>
  <c r="H34" i="1"/>
  <c r="I174" i="5" l="1"/>
  <c r="I183" i="5"/>
  <c r="D51" i="8"/>
  <c r="I182" i="5"/>
  <c r="I173" i="5"/>
  <c r="I164" i="5"/>
  <c r="I165" i="5"/>
  <c r="H94" i="5"/>
  <c r="D50" i="8" l="1"/>
  <c r="G56" i="1"/>
  <c r="D47" i="8" l="1"/>
  <c r="H68" i="1"/>
  <c r="D45" i="8" l="1"/>
  <c r="D46" i="8"/>
  <c r="F46" i="8"/>
  <c r="E46" i="8"/>
  <c r="H46" i="8"/>
  <c r="N94" i="5"/>
  <c r="M94" i="5"/>
  <c r="L94" i="5"/>
  <c r="I94" i="5"/>
  <c r="G94" i="5"/>
  <c r="F94" i="5"/>
  <c r="E94" i="5"/>
  <c r="D94" i="5"/>
  <c r="C94" i="5"/>
  <c r="B94" i="5"/>
  <c r="N93" i="5"/>
  <c r="M93" i="5"/>
  <c r="L93" i="5"/>
  <c r="I93" i="5"/>
  <c r="H93" i="5"/>
  <c r="G93" i="5"/>
  <c r="F93" i="5"/>
  <c r="E93" i="5"/>
  <c r="D93" i="5"/>
  <c r="C93" i="5"/>
  <c r="B93" i="5"/>
  <c r="J9" i="3" l="1"/>
  <c r="I9" i="3"/>
  <c r="B9" i="3"/>
  <c r="J8" i="3"/>
  <c r="I8" i="3"/>
  <c r="B8" i="3"/>
  <c r="J7" i="3"/>
  <c r="I7" i="3"/>
  <c r="B7" i="3"/>
  <c r="J10" i="3"/>
  <c r="J11" i="3"/>
  <c r="J12" i="3"/>
  <c r="J13" i="3"/>
  <c r="J14" i="3"/>
  <c r="J15" i="3"/>
  <c r="J16" i="3"/>
  <c r="J17" i="3"/>
  <c r="J18" i="3"/>
  <c r="B18" i="3"/>
  <c r="I18" i="3"/>
  <c r="I15" i="3" l="1"/>
  <c r="B15" i="3"/>
  <c r="I14" i="3"/>
  <c r="B14" i="3"/>
  <c r="N134" i="5"/>
  <c r="M134" i="5"/>
  <c r="L134" i="5"/>
  <c r="I134" i="5"/>
  <c r="F134" i="5"/>
  <c r="E134" i="5"/>
  <c r="D134" i="5"/>
  <c r="C134" i="5"/>
  <c r="B134" i="5"/>
  <c r="G51" i="1"/>
  <c r="N15" i="5" l="1"/>
  <c r="M15" i="5"/>
  <c r="L15" i="5"/>
  <c r="I15" i="5"/>
  <c r="E15" i="5"/>
  <c r="D15" i="5"/>
  <c r="C15" i="5"/>
  <c r="B15" i="5"/>
  <c r="N83" i="5" l="1"/>
  <c r="M83" i="5"/>
  <c r="L83" i="5"/>
  <c r="I83" i="5"/>
  <c r="H83" i="5"/>
  <c r="G83" i="5"/>
  <c r="F83" i="5"/>
  <c r="E83" i="5"/>
  <c r="D83" i="5"/>
  <c r="C83" i="5"/>
  <c r="B83" i="5"/>
  <c r="N67" i="5"/>
  <c r="M67" i="5"/>
  <c r="L67" i="5"/>
  <c r="I67" i="5"/>
  <c r="H67" i="5"/>
  <c r="G67" i="5"/>
  <c r="F67" i="5"/>
  <c r="E67" i="5"/>
  <c r="D67" i="5"/>
  <c r="C67" i="5"/>
  <c r="B67" i="5"/>
  <c r="N36" i="5"/>
  <c r="M36" i="5"/>
  <c r="L36" i="5"/>
  <c r="I36" i="5"/>
  <c r="H36" i="5"/>
  <c r="G36" i="5"/>
  <c r="F36" i="5"/>
  <c r="E36" i="5"/>
  <c r="D36" i="5"/>
  <c r="C36" i="5"/>
  <c r="B36" i="5"/>
  <c r="N8" i="5"/>
  <c r="M8" i="5"/>
  <c r="L8" i="5"/>
  <c r="I8" i="5"/>
  <c r="H8" i="5"/>
  <c r="G8" i="5"/>
  <c r="F8" i="5"/>
  <c r="E8" i="5"/>
  <c r="D8" i="5"/>
  <c r="C8" i="5"/>
  <c r="B8" i="5"/>
  <c r="N118" i="5"/>
  <c r="M118" i="5"/>
  <c r="L118" i="5"/>
  <c r="I118" i="5"/>
  <c r="F118" i="5"/>
  <c r="E118" i="5"/>
  <c r="D118" i="5"/>
  <c r="C118" i="5"/>
  <c r="N117" i="5"/>
  <c r="M117" i="5"/>
  <c r="L117" i="5"/>
  <c r="I117" i="5"/>
  <c r="F117" i="5"/>
  <c r="E117" i="5"/>
  <c r="D117" i="5"/>
  <c r="C117" i="5"/>
  <c r="N116" i="5"/>
  <c r="M116" i="5"/>
  <c r="L116" i="5"/>
  <c r="I116" i="5"/>
  <c r="F116" i="5"/>
  <c r="E116" i="5"/>
  <c r="D116" i="5"/>
  <c r="C116" i="5"/>
  <c r="B118" i="5"/>
  <c r="B117" i="5"/>
  <c r="B116" i="5"/>
  <c r="N110" i="5"/>
  <c r="M110" i="5"/>
  <c r="L110" i="5"/>
  <c r="I110" i="5"/>
  <c r="F110" i="5"/>
  <c r="E110" i="5"/>
  <c r="D110" i="5"/>
  <c r="C110" i="5"/>
  <c r="N109" i="5"/>
  <c r="M109" i="5"/>
  <c r="L109" i="5"/>
  <c r="I109" i="5"/>
  <c r="H109" i="5"/>
  <c r="G109" i="5"/>
  <c r="F109" i="5"/>
  <c r="E109" i="5"/>
  <c r="D109" i="5"/>
  <c r="C109" i="5"/>
  <c r="N108" i="5"/>
  <c r="M108" i="5"/>
  <c r="L108" i="5"/>
  <c r="I108" i="5"/>
  <c r="H108" i="5"/>
  <c r="G108" i="5"/>
  <c r="F108" i="5"/>
  <c r="E108" i="5"/>
  <c r="D108" i="5"/>
  <c r="C108" i="5"/>
  <c r="B110" i="5"/>
  <c r="B109" i="5"/>
  <c r="B108" i="5"/>
  <c r="N102" i="5"/>
  <c r="M102" i="5"/>
  <c r="L102" i="5"/>
  <c r="I102" i="5"/>
  <c r="H102" i="5"/>
  <c r="G102" i="5"/>
  <c r="F102" i="5"/>
  <c r="E102" i="5"/>
  <c r="D102" i="5"/>
  <c r="C102" i="5"/>
  <c r="N101" i="5"/>
  <c r="M101" i="5"/>
  <c r="L101" i="5"/>
  <c r="I101" i="5"/>
  <c r="H101" i="5"/>
  <c r="G101" i="5"/>
  <c r="F101" i="5"/>
  <c r="E101" i="5"/>
  <c r="D101" i="5"/>
  <c r="C101" i="5"/>
  <c r="B102" i="5"/>
  <c r="B101" i="5"/>
  <c r="I120" i="5" l="1"/>
  <c r="I121" i="5"/>
  <c r="I105" i="5"/>
  <c r="I104" i="5"/>
  <c r="I113" i="5"/>
  <c r="I112" i="5"/>
  <c r="E15" i="3" s="1"/>
  <c r="H52" i="1"/>
  <c r="H110" i="5" s="1"/>
  <c r="H113" i="5" s="1"/>
  <c r="G15" i="3" s="1"/>
  <c r="G52" i="1"/>
  <c r="G110" i="5" s="1"/>
  <c r="G112" i="5" s="1"/>
  <c r="C15" i="3" s="1"/>
  <c r="H54" i="1"/>
  <c r="G54" i="1"/>
  <c r="H55" i="1"/>
  <c r="G55" i="1"/>
  <c r="H53" i="1"/>
  <c r="H116" i="5" s="1"/>
  <c r="G53" i="1"/>
  <c r="G116" i="5" s="1"/>
  <c r="H15" i="3" l="1"/>
  <c r="H14" i="3"/>
  <c r="H112" i="5"/>
  <c r="D15" i="3" s="1"/>
  <c r="G117" i="5"/>
  <c r="H117" i="5"/>
  <c r="G113" i="5"/>
  <c r="F15" i="3" s="1"/>
  <c r="G118" i="5"/>
  <c r="H118" i="5"/>
  <c r="D151" i="5"/>
  <c r="E151" i="5"/>
  <c r="F151" i="5"/>
  <c r="H151" i="5"/>
  <c r="I151" i="5"/>
  <c r="L151" i="5"/>
  <c r="M151" i="5"/>
  <c r="N151" i="5"/>
  <c r="D152" i="5"/>
  <c r="E152" i="5"/>
  <c r="F152" i="5"/>
  <c r="H152" i="5"/>
  <c r="I152" i="5"/>
  <c r="L152" i="5"/>
  <c r="M152" i="5"/>
  <c r="N152" i="5"/>
  <c r="C151" i="5"/>
  <c r="B151" i="5"/>
  <c r="C152" i="5"/>
  <c r="B152" i="5"/>
  <c r="H121" i="5" l="1"/>
  <c r="G120" i="5"/>
  <c r="H120" i="5"/>
  <c r="H105" i="5"/>
  <c r="H104" i="5"/>
  <c r="G121" i="5"/>
  <c r="G105" i="5"/>
  <c r="F14" i="3" s="1"/>
  <c r="G104" i="5"/>
  <c r="C14" i="3" s="1"/>
  <c r="G151" i="5"/>
  <c r="N147" i="5"/>
  <c r="M147" i="5"/>
  <c r="L147" i="5"/>
  <c r="I147" i="5"/>
  <c r="F147" i="5"/>
  <c r="E147" i="5"/>
  <c r="D147" i="5"/>
  <c r="C147" i="5"/>
  <c r="B147" i="5"/>
  <c r="H39" i="1" l="1"/>
  <c r="H37" i="1"/>
  <c r="H38" i="1"/>
  <c r="H181" i="5" s="1"/>
  <c r="H35" i="1"/>
  <c r="H33" i="1"/>
  <c r="H31" i="1"/>
  <c r="N150" i="5" l="1"/>
  <c r="M150" i="5"/>
  <c r="L150" i="5"/>
  <c r="I150" i="5"/>
  <c r="F150" i="5"/>
  <c r="E150" i="5"/>
  <c r="D150" i="5"/>
  <c r="C150" i="5"/>
  <c r="N149" i="5"/>
  <c r="M149" i="5"/>
  <c r="L149" i="5"/>
  <c r="I149" i="5"/>
  <c r="F149" i="5"/>
  <c r="E149" i="5"/>
  <c r="D149" i="5"/>
  <c r="C149" i="5"/>
  <c r="N148" i="5"/>
  <c r="M148" i="5"/>
  <c r="L148" i="5"/>
  <c r="I148" i="5"/>
  <c r="F148" i="5"/>
  <c r="E148" i="5"/>
  <c r="D148" i="5"/>
  <c r="C148" i="5"/>
  <c r="B150" i="5"/>
  <c r="B149" i="5"/>
  <c r="B148" i="5"/>
  <c r="N154" i="5"/>
  <c r="M154" i="5"/>
  <c r="L154" i="5"/>
  <c r="I154" i="5"/>
  <c r="F154" i="5"/>
  <c r="E154" i="5"/>
  <c r="D154" i="5"/>
  <c r="C154" i="5"/>
  <c r="N153" i="5"/>
  <c r="M153" i="5"/>
  <c r="L153" i="5"/>
  <c r="I153" i="5"/>
  <c r="F153" i="5"/>
  <c r="E153" i="5"/>
  <c r="D153" i="5"/>
  <c r="C153" i="5"/>
  <c r="B154" i="5"/>
  <c r="B153" i="5"/>
  <c r="I156" i="5" l="1"/>
  <c r="H18" i="3" s="1"/>
  <c r="I155" i="5"/>
  <c r="E18" i="3" s="1"/>
  <c r="I12" i="3" l="1"/>
  <c r="B12" i="3"/>
  <c r="N139" i="5"/>
  <c r="M139" i="5"/>
  <c r="L139" i="5"/>
  <c r="I139" i="5"/>
  <c r="F139" i="5"/>
  <c r="E139" i="5"/>
  <c r="D139" i="5"/>
  <c r="C139" i="5"/>
  <c r="B139" i="5"/>
  <c r="N138" i="5"/>
  <c r="M138" i="5"/>
  <c r="L138" i="5"/>
  <c r="I138" i="5"/>
  <c r="H138" i="5"/>
  <c r="F138" i="5"/>
  <c r="E138" i="5"/>
  <c r="D138" i="5"/>
  <c r="C138" i="5"/>
  <c r="B138" i="5"/>
  <c r="N137" i="5"/>
  <c r="M137" i="5"/>
  <c r="L137" i="5"/>
  <c r="I137" i="5"/>
  <c r="H137" i="5"/>
  <c r="G137" i="5"/>
  <c r="F137" i="5"/>
  <c r="E137" i="5"/>
  <c r="D137" i="5"/>
  <c r="C137" i="5"/>
  <c r="B137" i="5"/>
  <c r="N126" i="5"/>
  <c r="M126" i="5"/>
  <c r="L126" i="5"/>
  <c r="I126" i="5"/>
  <c r="F126" i="5"/>
  <c r="E126" i="5"/>
  <c r="D126" i="5"/>
  <c r="C126" i="5"/>
  <c r="B126" i="5"/>
  <c r="N125" i="5"/>
  <c r="M125" i="5"/>
  <c r="L125" i="5"/>
  <c r="I125" i="5"/>
  <c r="H125" i="5"/>
  <c r="F125" i="5"/>
  <c r="E125" i="5"/>
  <c r="D125" i="5"/>
  <c r="C125" i="5"/>
  <c r="B125" i="5"/>
  <c r="N124" i="5"/>
  <c r="M124" i="5"/>
  <c r="L124" i="5"/>
  <c r="I124" i="5"/>
  <c r="H124" i="5"/>
  <c r="G124" i="5"/>
  <c r="F124" i="5"/>
  <c r="E124" i="5"/>
  <c r="D124" i="5"/>
  <c r="C124" i="5"/>
  <c r="B124" i="5"/>
  <c r="N85" i="5"/>
  <c r="M85" i="5"/>
  <c r="L85" i="5"/>
  <c r="I85" i="5"/>
  <c r="F85" i="5"/>
  <c r="E85" i="5"/>
  <c r="D85" i="5"/>
  <c r="C85" i="5"/>
  <c r="B85" i="5"/>
  <c r="N84" i="5"/>
  <c r="M84" i="5"/>
  <c r="L84" i="5"/>
  <c r="I84" i="5"/>
  <c r="F84" i="5"/>
  <c r="E84" i="5"/>
  <c r="D84" i="5"/>
  <c r="C84" i="5"/>
  <c r="B84" i="5"/>
  <c r="N82" i="5"/>
  <c r="M82" i="5"/>
  <c r="L82" i="5"/>
  <c r="I82" i="5"/>
  <c r="E82" i="5"/>
  <c r="D82" i="5"/>
  <c r="C82" i="5"/>
  <c r="N81" i="5"/>
  <c r="M81" i="5"/>
  <c r="L81" i="5"/>
  <c r="E81" i="5"/>
  <c r="D81" i="5"/>
  <c r="C81" i="5"/>
  <c r="N80" i="5"/>
  <c r="M80" i="5"/>
  <c r="L80" i="5"/>
  <c r="I80" i="5"/>
  <c r="E80" i="5"/>
  <c r="D80" i="5"/>
  <c r="C80" i="5"/>
  <c r="B82" i="5"/>
  <c r="B81" i="5"/>
  <c r="B80" i="5"/>
  <c r="N68" i="5"/>
  <c r="M68" i="5"/>
  <c r="L68" i="5"/>
  <c r="I68" i="5"/>
  <c r="F68" i="5"/>
  <c r="E68" i="5"/>
  <c r="D68" i="5"/>
  <c r="C68" i="5"/>
  <c r="B68" i="5"/>
  <c r="N37" i="5"/>
  <c r="M37" i="5"/>
  <c r="L37" i="5"/>
  <c r="I37" i="5"/>
  <c r="F37" i="5"/>
  <c r="E37" i="5"/>
  <c r="D37" i="5"/>
  <c r="C37" i="5"/>
  <c r="B37" i="5"/>
  <c r="N9" i="5"/>
  <c r="M9" i="5"/>
  <c r="L9" i="5"/>
  <c r="I9" i="5"/>
  <c r="F9" i="5"/>
  <c r="E9" i="5"/>
  <c r="D9" i="5"/>
  <c r="C9" i="5"/>
  <c r="B9" i="5"/>
  <c r="H37" i="5"/>
  <c r="G37" i="5"/>
  <c r="I87" i="5" l="1"/>
  <c r="I88" i="5"/>
  <c r="G138" i="5"/>
  <c r="G152" i="5"/>
  <c r="G139" i="5"/>
  <c r="G153" i="5"/>
  <c r="H139" i="5"/>
  <c r="H153" i="5"/>
  <c r="G84" i="5"/>
  <c r="G125" i="5"/>
  <c r="G126" i="5"/>
  <c r="G9" i="5"/>
  <c r="G68" i="5"/>
  <c r="H126" i="5"/>
  <c r="H84" i="5"/>
  <c r="H9" i="5"/>
  <c r="H68" i="5"/>
  <c r="E12" i="3" l="1"/>
  <c r="E14" i="3"/>
  <c r="H12" i="3"/>
  <c r="G127" i="5"/>
  <c r="G10" i="5"/>
  <c r="C7" i="3" s="1"/>
  <c r="N23" i="5" l="1"/>
  <c r="M23" i="5"/>
  <c r="L23" i="5"/>
  <c r="I23" i="5"/>
  <c r="E23" i="5"/>
  <c r="D23" i="5"/>
  <c r="C23" i="5"/>
  <c r="N22" i="5"/>
  <c r="M22" i="5"/>
  <c r="L22" i="5"/>
  <c r="I22" i="5"/>
  <c r="E22" i="5"/>
  <c r="D22" i="5"/>
  <c r="C22" i="5"/>
  <c r="N21" i="5"/>
  <c r="M21" i="5"/>
  <c r="L21" i="5"/>
  <c r="I21" i="5"/>
  <c r="F21" i="5"/>
  <c r="E21" i="5"/>
  <c r="D21" i="5"/>
  <c r="C21" i="5"/>
  <c r="B23" i="5"/>
  <c r="B22" i="5"/>
  <c r="B21" i="5"/>
  <c r="N16" i="5"/>
  <c r="M16" i="5"/>
  <c r="L16" i="5"/>
  <c r="I16" i="5"/>
  <c r="E16" i="5"/>
  <c r="D16" i="5"/>
  <c r="C16" i="5"/>
  <c r="N14" i="5"/>
  <c r="M14" i="5"/>
  <c r="L14" i="5"/>
  <c r="I14" i="5"/>
  <c r="E14" i="5"/>
  <c r="D14" i="5"/>
  <c r="C14" i="5"/>
  <c r="B16" i="5"/>
  <c r="B14" i="5"/>
  <c r="I11" i="5"/>
  <c r="H7" i="3" s="1"/>
  <c r="N135" i="5"/>
  <c r="M135" i="5"/>
  <c r="L135" i="5"/>
  <c r="I135" i="5"/>
  <c r="F135" i="5"/>
  <c r="E135" i="5"/>
  <c r="D135" i="5"/>
  <c r="C135" i="5"/>
  <c r="B135" i="5"/>
  <c r="G68" i="1"/>
  <c r="M140" i="5"/>
  <c r="M136" i="5"/>
  <c r="M133" i="5"/>
  <c r="M132" i="5"/>
  <c r="M131" i="5"/>
  <c r="M95" i="5"/>
  <c r="M92" i="5"/>
  <c r="M91" i="5"/>
  <c r="M69" i="5"/>
  <c r="M66" i="5"/>
  <c r="M65" i="5"/>
  <c r="M63" i="5"/>
  <c r="M62" i="5"/>
  <c r="M61" i="5"/>
  <c r="M54" i="5"/>
  <c r="M52" i="5"/>
  <c r="M51" i="5"/>
  <c r="M50" i="5"/>
  <c r="M49" i="5"/>
  <c r="M48" i="5"/>
  <c r="M47" i="5"/>
  <c r="M46" i="5"/>
  <c r="M45" i="5"/>
  <c r="M44" i="5"/>
  <c r="M43" i="5"/>
  <c r="M38" i="5"/>
  <c r="M35" i="5"/>
  <c r="M34" i="5"/>
  <c r="M33" i="5"/>
  <c r="M32" i="5"/>
  <c r="M31" i="5"/>
  <c r="M30" i="5"/>
  <c r="M29" i="5"/>
  <c r="M28" i="5"/>
  <c r="I13" i="3"/>
  <c r="B13" i="3"/>
  <c r="N95" i="5"/>
  <c r="L95" i="5"/>
  <c r="I95" i="5"/>
  <c r="G95" i="5"/>
  <c r="F95" i="5"/>
  <c r="E95" i="5"/>
  <c r="D95" i="5"/>
  <c r="C95" i="5"/>
  <c r="N92" i="5"/>
  <c r="L92" i="5"/>
  <c r="I92" i="5"/>
  <c r="E92" i="5"/>
  <c r="D92" i="5"/>
  <c r="C92" i="5"/>
  <c r="N91" i="5"/>
  <c r="L91" i="5"/>
  <c r="I91" i="5"/>
  <c r="E91" i="5"/>
  <c r="D91" i="5"/>
  <c r="C91" i="5"/>
  <c r="B95" i="5"/>
  <c r="B92" i="5"/>
  <c r="B91" i="5"/>
  <c r="H28" i="1"/>
  <c r="H95" i="5" s="1"/>
  <c r="G91" i="5"/>
  <c r="H91" i="5"/>
  <c r="I17" i="3"/>
  <c r="B17" i="3"/>
  <c r="I16" i="3"/>
  <c r="B16" i="3"/>
  <c r="I11" i="3"/>
  <c r="B11" i="3"/>
  <c r="I10" i="3"/>
  <c r="B10" i="3"/>
  <c r="J3" i="3"/>
  <c r="G2" i="3"/>
  <c r="N140" i="5"/>
  <c r="L140" i="5"/>
  <c r="I140" i="5"/>
  <c r="F140" i="5"/>
  <c r="E140" i="5"/>
  <c r="D140" i="5"/>
  <c r="C140" i="5"/>
  <c r="N136" i="5"/>
  <c r="L136" i="5"/>
  <c r="I136" i="5"/>
  <c r="F136" i="5"/>
  <c r="E136" i="5"/>
  <c r="D136" i="5"/>
  <c r="C136" i="5"/>
  <c r="N133" i="5"/>
  <c r="L133" i="5"/>
  <c r="I133" i="5"/>
  <c r="F133" i="5"/>
  <c r="E133" i="5"/>
  <c r="D133" i="5"/>
  <c r="C133" i="5"/>
  <c r="N132" i="5"/>
  <c r="L132" i="5"/>
  <c r="I132" i="5"/>
  <c r="F132" i="5"/>
  <c r="E132" i="5"/>
  <c r="D132" i="5"/>
  <c r="C132" i="5"/>
  <c r="N131" i="5"/>
  <c r="L131" i="5"/>
  <c r="I131" i="5"/>
  <c r="F131" i="5"/>
  <c r="E131" i="5"/>
  <c r="D131" i="5"/>
  <c r="C131" i="5"/>
  <c r="B140" i="5"/>
  <c r="B136" i="5"/>
  <c r="B133" i="5"/>
  <c r="B132" i="5"/>
  <c r="B131" i="5"/>
  <c r="C66" i="5"/>
  <c r="D66" i="5"/>
  <c r="E66" i="5"/>
  <c r="I66" i="5"/>
  <c r="L66" i="5"/>
  <c r="N66" i="5"/>
  <c r="C69" i="5"/>
  <c r="D69" i="5"/>
  <c r="E69" i="5"/>
  <c r="I69" i="5"/>
  <c r="L69" i="5"/>
  <c r="N69" i="5"/>
  <c r="B69" i="5"/>
  <c r="B66" i="5"/>
  <c r="C61" i="5"/>
  <c r="D61" i="5"/>
  <c r="E61" i="5"/>
  <c r="I61" i="5"/>
  <c r="L61" i="5"/>
  <c r="N61" i="5"/>
  <c r="C62" i="5"/>
  <c r="D62" i="5"/>
  <c r="E62" i="5"/>
  <c r="I62" i="5"/>
  <c r="L62" i="5"/>
  <c r="N62" i="5"/>
  <c r="C63" i="5"/>
  <c r="D63" i="5"/>
  <c r="E63" i="5"/>
  <c r="I63" i="5"/>
  <c r="L63" i="5"/>
  <c r="N63" i="5"/>
  <c r="C65" i="5"/>
  <c r="D65" i="5"/>
  <c r="E65" i="5"/>
  <c r="I65" i="5"/>
  <c r="L65" i="5"/>
  <c r="N65" i="5"/>
  <c r="B61" i="5"/>
  <c r="B62" i="5"/>
  <c r="B63" i="5"/>
  <c r="B65" i="5"/>
  <c r="B50" i="5"/>
  <c r="C50" i="5"/>
  <c r="D50" i="5"/>
  <c r="E50" i="5"/>
  <c r="I50" i="5"/>
  <c r="L50" i="5"/>
  <c r="N50" i="5"/>
  <c r="B51" i="5"/>
  <c r="C51" i="5"/>
  <c r="D51" i="5"/>
  <c r="E51" i="5"/>
  <c r="I51" i="5"/>
  <c r="L51" i="5"/>
  <c r="N51" i="5"/>
  <c r="B52" i="5"/>
  <c r="C52" i="5"/>
  <c r="D52" i="5"/>
  <c r="E52" i="5"/>
  <c r="I52" i="5"/>
  <c r="L52" i="5"/>
  <c r="N52" i="5"/>
  <c r="B54" i="5"/>
  <c r="C54" i="5"/>
  <c r="D54" i="5"/>
  <c r="E54" i="5"/>
  <c r="I54" i="5"/>
  <c r="L54" i="5"/>
  <c r="N54" i="5"/>
  <c r="B44" i="5"/>
  <c r="C44" i="5"/>
  <c r="D44" i="5"/>
  <c r="E44" i="5"/>
  <c r="F44" i="5"/>
  <c r="I44" i="5"/>
  <c r="L44" i="5"/>
  <c r="N44" i="5"/>
  <c r="B45" i="5"/>
  <c r="C45" i="5"/>
  <c r="D45" i="5"/>
  <c r="E45" i="5"/>
  <c r="F45" i="5"/>
  <c r="I45" i="5"/>
  <c r="L45" i="5"/>
  <c r="N45" i="5"/>
  <c r="B46" i="5"/>
  <c r="C46" i="5"/>
  <c r="D46" i="5"/>
  <c r="E46" i="5"/>
  <c r="F46" i="5"/>
  <c r="G46" i="5"/>
  <c r="H46" i="5"/>
  <c r="I46" i="5"/>
  <c r="L46" i="5"/>
  <c r="N46" i="5"/>
  <c r="B47" i="5"/>
  <c r="C47" i="5"/>
  <c r="D47" i="5"/>
  <c r="E47" i="5"/>
  <c r="F47" i="5"/>
  <c r="I47" i="5"/>
  <c r="L47" i="5"/>
  <c r="N47" i="5"/>
  <c r="B48" i="5"/>
  <c r="C48" i="5"/>
  <c r="D48" i="5"/>
  <c r="E48" i="5"/>
  <c r="I48" i="5"/>
  <c r="L48" i="5"/>
  <c r="N48" i="5"/>
  <c r="B49" i="5"/>
  <c r="C49" i="5"/>
  <c r="D49" i="5"/>
  <c r="E49" i="5"/>
  <c r="I49" i="5"/>
  <c r="L49" i="5"/>
  <c r="N49" i="5"/>
  <c r="C43" i="5"/>
  <c r="D43" i="5"/>
  <c r="E43" i="5"/>
  <c r="F43" i="5"/>
  <c r="G43" i="5"/>
  <c r="I43" i="5"/>
  <c r="L43" i="5"/>
  <c r="N43" i="5"/>
  <c r="B43" i="5"/>
  <c r="B38" i="5"/>
  <c r="C38" i="5"/>
  <c r="D38" i="5"/>
  <c r="E38" i="5"/>
  <c r="I38" i="5"/>
  <c r="L38" i="5"/>
  <c r="N38" i="5"/>
  <c r="C35" i="5"/>
  <c r="D35" i="5"/>
  <c r="E35" i="5"/>
  <c r="I35" i="5"/>
  <c r="L35" i="5"/>
  <c r="N35" i="5"/>
  <c r="B35" i="5"/>
  <c r="N34" i="5"/>
  <c r="L34" i="5"/>
  <c r="I34" i="5"/>
  <c r="E34" i="5"/>
  <c r="D34" i="5"/>
  <c r="C34" i="5"/>
  <c r="B34" i="5"/>
  <c r="N33" i="5"/>
  <c r="L33" i="5"/>
  <c r="I33" i="5"/>
  <c r="E33" i="5"/>
  <c r="D33" i="5"/>
  <c r="C33" i="5"/>
  <c r="B33" i="5"/>
  <c r="N32" i="5"/>
  <c r="L32" i="5"/>
  <c r="I32" i="5"/>
  <c r="F32" i="5"/>
  <c r="E32" i="5"/>
  <c r="D32" i="5"/>
  <c r="C32" i="5"/>
  <c r="B32" i="5"/>
  <c r="N31" i="5"/>
  <c r="L31" i="5"/>
  <c r="I31" i="5"/>
  <c r="H31" i="5"/>
  <c r="G31" i="5"/>
  <c r="F31" i="5"/>
  <c r="E31" i="5"/>
  <c r="D31" i="5"/>
  <c r="C31" i="5"/>
  <c r="B31" i="5"/>
  <c r="B30" i="5"/>
  <c r="C30" i="5"/>
  <c r="D30" i="5"/>
  <c r="E30" i="5"/>
  <c r="F30" i="5"/>
  <c r="I30" i="5"/>
  <c r="L30" i="5"/>
  <c r="N30" i="5"/>
  <c r="C29" i="5"/>
  <c r="D29" i="5"/>
  <c r="E29" i="5"/>
  <c r="F29" i="5"/>
  <c r="I29" i="5"/>
  <c r="L29" i="5"/>
  <c r="N29" i="5"/>
  <c r="B29" i="5"/>
  <c r="B28" i="5"/>
  <c r="C28" i="5"/>
  <c r="D28" i="5"/>
  <c r="E28" i="5"/>
  <c r="F28" i="5"/>
  <c r="G28" i="5"/>
  <c r="I28" i="5"/>
  <c r="L28" i="5"/>
  <c r="N28" i="5"/>
  <c r="N3" i="5"/>
  <c r="E2" i="5"/>
  <c r="E2" i="1"/>
  <c r="H133" i="5"/>
  <c r="G66" i="1"/>
  <c r="G133" i="5" s="1"/>
  <c r="F13" i="1"/>
  <c r="F14" i="1" s="1"/>
  <c r="G18" i="1"/>
  <c r="G131" i="5" s="1"/>
  <c r="H69" i="1"/>
  <c r="H150" i="5" s="1"/>
  <c r="G69" i="1"/>
  <c r="G150" i="5" s="1"/>
  <c r="H8" i="1"/>
  <c r="H43" i="5" s="1"/>
  <c r="H12" i="1"/>
  <c r="H9" i="1"/>
  <c r="H29" i="5" s="1"/>
  <c r="G9" i="1"/>
  <c r="G44" i="5" s="1"/>
  <c r="H24" i="1"/>
  <c r="G24" i="1"/>
  <c r="N3" i="1"/>
  <c r="H13" i="1"/>
  <c r="H33" i="5" s="1"/>
  <c r="G13" i="1"/>
  <c r="G33" i="5" s="1"/>
  <c r="H62" i="1"/>
  <c r="G62" i="1"/>
  <c r="G154" i="5" s="1"/>
  <c r="G65" i="1"/>
  <c r="G147" i="5" s="1"/>
  <c r="H147" i="5"/>
  <c r="H67" i="1"/>
  <c r="G67" i="1"/>
  <c r="H15" i="1"/>
  <c r="G15" i="1"/>
  <c r="G44" i="1"/>
  <c r="H45" i="1"/>
  <c r="H66" i="5" s="1"/>
  <c r="G45" i="1"/>
  <c r="G35" i="5" s="1"/>
  <c r="H23" i="1"/>
  <c r="G23" i="1"/>
  <c r="H21" i="1"/>
  <c r="G21" i="1"/>
  <c r="H14" i="1"/>
  <c r="H23" i="5" s="1"/>
  <c r="G14" i="1"/>
  <c r="G12" i="1"/>
  <c r="H10" i="1"/>
  <c r="H45" i="5" s="1"/>
  <c r="G10" i="1"/>
  <c r="G30" i="5" s="1"/>
  <c r="F69" i="5"/>
  <c r="H15" i="5" l="1"/>
  <c r="H160" i="5"/>
  <c r="H178" i="5"/>
  <c r="H169" i="5"/>
  <c r="G15" i="5"/>
  <c r="G160" i="5"/>
  <c r="G178" i="5"/>
  <c r="G169" i="5"/>
  <c r="G148" i="5"/>
  <c r="G134" i="5"/>
  <c r="H47" i="5"/>
  <c r="H148" i="5"/>
  <c r="H134" i="5"/>
  <c r="G32" i="5"/>
  <c r="I18" i="5"/>
  <c r="H8" i="3" s="1"/>
  <c r="I17" i="5"/>
  <c r="E8" i="3" s="1"/>
  <c r="H140" i="5"/>
  <c r="H154" i="5"/>
  <c r="H135" i="5"/>
  <c r="H149" i="5"/>
  <c r="G135" i="5"/>
  <c r="G149" i="5"/>
  <c r="G92" i="5"/>
  <c r="G96" i="5" s="1"/>
  <c r="G80" i="5"/>
  <c r="G54" i="5"/>
  <c r="G82" i="5"/>
  <c r="H61" i="5"/>
  <c r="H38" i="5"/>
  <c r="H85" i="5"/>
  <c r="G63" i="5"/>
  <c r="G81" i="5"/>
  <c r="H92" i="5"/>
  <c r="H96" i="5" s="1"/>
  <c r="D13" i="3" s="1"/>
  <c r="H80" i="5"/>
  <c r="H54" i="5"/>
  <c r="H82" i="5"/>
  <c r="G69" i="5"/>
  <c r="G85" i="5"/>
  <c r="G61" i="5"/>
  <c r="H63" i="5"/>
  <c r="H81" i="5"/>
  <c r="F48" i="5"/>
  <c r="H69" i="5"/>
  <c r="G66" i="5"/>
  <c r="G51" i="5"/>
  <c r="H28" i="5"/>
  <c r="F15" i="1"/>
  <c r="G47" i="5"/>
  <c r="G48" i="5"/>
  <c r="H52" i="5"/>
  <c r="G132" i="5"/>
  <c r="F33" i="5"/>
  <c r="F22" i="1"/>
  <c r="G52" i="5"/>
  <c r="G65" i="5"/>
  <c r="H49" i="5"/>
  <c r="G14" i="5"/>
  <c r="G50" i="5"/>
  <c r="G29" i="5"/>
  <c r="H132" i="5"/>
  <c r="F38" i="5"/>
  <c r="H65" i="5"/>
  <c r="G136" i="5"/>
  <c r="H127" i="5"/>
  <c r="H48" i="5"/>
  <c r="G128" i="5"/>
  <c r="G62" i="5"/>
  <c r="G21" i="5"/>
  <c r="F22" i="5"/>
  <c r="F34" i="5"/>
  <c r="G140" i="5"/>
  <c r="H14" i="5"/>
  <c r="G22" i="5"/>
  <c r="I39" i="5"/>
  <c r="H21" i="5"/>
  <c r="H50" i="5"/>
  <c r="H62" i="5"/>
  <c r="F49" i="5"/>
  <c r="F23" i="1"/>
  <c r="G38" i="5"/>
  <c r="H44" i="5"/>
  <c r="G45" i="5"/>
  <c r="H35" i="5"/>
  <c r="H51" i="5"/>
  <c r="H136" i="5"/>
  <c r="G16" i="5"/>
  <c r="H22" i="5"/>
  <c r="F23" i="5"/>
  <c r="H131" i="5"/>
  <c r="F21" i="1"/>
  <c r="F45" i="1"/>
  <c r="F24" i="1"/>
  <c r="F81" i="5" s="1"/>
  <c r="H34" i="5"/>
  <c r="H30" i="5"/>
  <c r="H32" i="5"/>
  <c r="G49" i="5"/>
  <c r="H16" i="5"/>
  <c r="G23" i="5"/>
  <c r="H10" i="3"/>
  <c r="I128" i="5"/>
  <c r="G34" i="5"/>
  <c r="I40" i="5"/>
  <c r="I77" i="5" s="1"/>
  <c r="I97" i="5"/>
  <c r="H13" i="3" s="1"/>
  <c r="G11" i="5"/>
  <c r="F7" i="3" s="1"/>
  <c r="I25" i="5"/>
  <c r="H9" i="3" s="1"/>
  <c r="I56" i="5"/>
  <c r="K58" i="5" s="1"/>
  <c r="I142" i="5"/>
  <c r="I10" i="5"/>
  <c r="E7" i="3" s="1"/>
  <c r="I127" i="5"/>
  <c r="I55" i="5"/>
  <c r="K57" i="5" s="1"/>
  <c r="E10" i="3"/>
  <c r="I141" i="5"/>
  <c r="I96" i="5"/>
  <c r="E13" i="3" s="1"/>
  <c r="I24" i="5"/>
  <c r="E9" i="3" s="1"/>
  <c r="F178" i="5" l="1"/>
  <c r="F169" i="5"/>
  <c r="F160" i="5"/>
  <c r="H173" i="5"/>
  <c r="H174" i="5"/>
  <c r="F91" i="5"/>
  <c r="F159" i="5"/>
  <c r="F168" i="5"/>
  <c r="F177" i="5"/>
  <c r="H183" i="5"/>
  <c r="H182" i="5"/>
  <c r="G164" i="5"/>
  <c r="G165" i="5"/>
  <c r="G173" i="5"/>
  <c r="G174" i="5"/>
  <c r="H165" i="5"/>
  <c r="H164" i="5"/>
  <c r="G182" i="5"/>
  <c r="G183" i="5"/>
  <c r="G156" i="5"/>
  <c r="F18" i="3" s="1"/>
  <c r="F80" i="5"/>
  <c r="F15" i="5"/>
  <c r="H156" i="5"/>
  <c r="G18" i="3" s="1"/>
  <c r="H155" i="5"/>
  <c r="D18" i="3" s="1"/>
  <c r="G155" i="5"/>
  <c r="C18" i="3" s="1"/>
  <c r="H88" i="5"/>
  <c r="H87" i="5"/>
  <c r="G88" i="5"/>
  <c r="G87" i="5"/>
  <c r="G17" i="5"/>
  <c r="C8" i="3" s="1"/>
  <c r="G18" i="5"/>
  <c r="F8" i="3" s="1"/>
  <c r="H17" i="5"/>
  <c r="D8" i="3" s="1"/>
  <c r="H18" i="5"/>
  <c r="G8" i="3" s="1"/>
  <c r="G40" i="5"/>
  <c r="G39" i="5"/>
  <c r="H97" i="5"/>
  <c r="G13" i="3" s="1"/>
  <c r="G97" i="5"/>
  <c r="F13" i="3" s="1"/>
  <c r="C13" i="3"/>
  <c r="F65" i="5"/>
  <c r="F82" i="5"/>
  <c r="G141" i="5"/>
  <c r="H16" i="3"/>
  <c r="E16" i="3"/>
  <c r="F54" i="5"/>
  <c r="H11" i="5"/>
  <c r="G7" i="3" s="1"/>
  <c r="G70" i="5"/>
  <c r="C10" i="3" s="1"/>
  <c r="I76" i="5"/>
  <c r="H142" i="5"/>
  <c r="H24" i="5"/>
  <c r="D9" i="3" s="1"/>
  <c r="H141" i="5"/>
  <c r="G25" i="5"/>
  <c r="F9" i="3" s="1"/>
  <c r="H128" i="5"/>
  <c r="H70" i="5"/>
  <c r="D10" i="3" s="1"/>
  <c r="H25" i="5"/>
  <c r="G9" i="3" s="1"/>
  <c r="G142" i="5"/>
  <c r="G55" i="5"/>
  <c r="H40" i="5"/>
  <c r="F50" i="5"/>
  <c r="F14" i="5"/>
  <c r="F61" i="5"/>
  <c r="H55" i="5"/>
  <c r="G56" i="5"/>
  <c r="F63" i="5"/>
  <c r="F52" i="5"/>
  <c r="F16" i="5"/>
  <c r="G24" i="5"/>
  <c r="C9" i="3" s="1"/>
  <c r="F66" i="5"/>
  <c r="F35" i="5"/>
  <c r="H71" i="5"/>
  <c r="G10" i="3" s="1"/>
  <c r="H56" i="5"/>
  <c r="H77" i="5" s="1"/>
  <c r="H10" i="5"/>
  <c r="D7" i="3" s="1"/>
  <c r="F92" i="5"/>
  <c r="F51" i="5"/>
  <c r="F62" i="5"/>
  <c r="H39" i="5"/>
  <c r="G71" i="5"/>
  <c r="F10" i="3" s="1"/>
  <c r="I144" i="5"/>
  <c r="H17" i="3" s="1"/>
  <c r="H11" i="3"/>
  <c r="C16" i="3" l="1"/>
  <c r="G14" i="3"/>
  <c r="G16" i="3"/>
  <c r="F16" i="3"/>
  <c r="D12" i="3"/>
  <c r="D14" i="3"/>
  <c r="I143" i="5"/>
  <c r="E17" i="3" s="1"/>
  <c r="G12" i="3"/>
  <c r="C12" i="3"/>
  <c r="F12" i="3"/>
  <c r="D16" i="3"/>
  <c r="E11" i="3"/>
  <c r="I57" i="5"/>
  <c r="G76" i="5"/>
  <c r="H76" i="5"/>
  <c r="I58" i="5"/>
  <c r="G77" i="5"/>
  <c r="H144" i="5"/>
  <c r="G17" i="3" s="1"/>
  <c r="G11" i="3"/>
  <c r="G143" i="5" l="1"/>
  <c r="C17" i="3" s="1"/>
  <c r="C11" i="3"/>
  <c r="F11" i="3"/>
  <c r="G144" i="5"/>
  <c r="F17" i="3" s="1"/>
  <c r="H143" i="5"/>
  <c r="D17" i="3" s="1"/>
  <c r="D11" i="3"/>
</calcChain>
</file>

<file path=xl/comments1.xml><?xml version="1.0" encoding="utf-8"?>
<comments xmlns="http://schemas.openxmlformats.org/spreadsheetml/2006/main">
  <authors>
    <author>Author</author>
  </authors>
  <commentList>
    <comment ref="M6" authorId="0" shapeId="0">
      <text>
        <r>
          <rPr>
            <b/>
            <sz val="9"/>
            <color indexed="81"/>
            <rFont val="Tahoma"/>
            <family val="2"/>
          </rPr>
          <t>Author:</t>
        </r>
        <r>
          <rPr>
            <sz val="9"/>
            <color indexed="81"/>
            <rFont val="Tahoma"/>
            <family val="2"/>
          </rPr>
          <t xml:space="preserve">
Meas: error due to imprecision of measurement
Place:  error due to placement or machining tolerance</t>
        </r>
      </text>
    </comment>
  </commentList>
</comments>
</file>

<file path=xl/sharedStrings.xml><?xml version="1.0" encoding="utf-8"?>
<sst xmlns="http://schemas.openxmlformats.org/spreadsheetml/2006/main" count="852" uniqueCount="505">
  <si>
    <t>Nominal Diameter (mm)</t>
  </si>
  <si>
    <t>Tip/Tilt Angle (mrads)</t>
  </si>
  <si>
    <t>Cryostat and Back Flange support structure</t>
  </si>
  <si>
    <t>L3 lens</t>
  </si>
  <si>
    <t>From</t>
  </si>
  <si>
    <t>To</t>
  </si>
  <si>
    <t>Cryostat mount flange flatness</t>
  </si>
  <si>
    <t>CBM</t>
  </si>
  <si>
    <t>Cryo</t>
  </si>
  <si>
    <t>Opt</t>
  </si>
  <si>
    <t>Parallelism/ Z / Flatness (microns)</t>
  </si>
  <si>
    <t>I&amp;T</t>
  </si>
  <si>
    <t>Cryostat mount flange fit-up repeatability</t>
  </si>
  <si>
    <t>Measurement precision wrt mount flange</t>
  </si>
  <si>
    <t>L3 flange fit-up repeatability</t>
  </si>
  <si>
    <t>Print Date:</t>
  </si>
  <si>
    <t>Camera back flange rotator interface flatness</t>
  </si>
  <si>
    <t>Camera back flange cryostat mount recess</t>
  </si>
  <si>
    <t>Flatness affects piston error only</t>
  </si>
  <si>
    <t>Toleranced dims of front flange pins and surface to support cylinder back flange;  support cyl and cryostat are fab'd together</t>
  </si>
  <si>
    <t>Fiducials are measured on a CMM so precision is very good</t>
  </si>
  <si>
    <t>Measurement precision of metrology system and imprecision of best-fit plane definition</t>
  </si>
  <si>
    <t>Resp</t>
  </si>
  <si>
    <t>Comments</t>
  </si>
  <si>
    <t>Camera front flange</t>
  </si>
  <si>
    <t>Auto Changer</t>
  </si>
  <si>
    <t>Filter</t>
  </si>
  <si>
    <t>Auto Changer filter mounts adjustment accuracy</t>
  </si>
  <si>
    <t>Auto changer filter mounts</t>
  </si>
  <si>
    <t>Measurement precision wrt auto changer survey fiducials</t>
  </si>
  <si>
    <t>Exch</t>
  </si>
  <si>
    <t>Precision of the filter mount location measurements to the survey fiducials on the auto changer perimeter</t>
  </si>
  <si>
    <t>Hysterisis/non-repeatability of auto changer modules after remove/replace cycle</t>
  </si>
  <si>
    <t>Nominal 
Z-Position (mm)</t>
  </si>
  <si>
    <t>Auto Changer filter mounts as-built nominal position</t>
  </si>
  <si>
    <t>Position of filter mounts in their nominal as-built position relative to the interface mount points on the auto changer; contributes to the req'd adjustment capability in the filter mounts</t>
  </si>
  <si>
    <t>Sets req'd adjustment capability of the auto changer filter mount points</t>
  </si>
  <si>
    <t>Document #</t>
  </si>
  <si>
    <t>Author(s)</t>
  </si>
  <si>
    <t>Martin Nordby</t>
  </si>
  <si>
    <t>Subsystem/Office</t>
  </si>
  <si>
    <t>Document Title</t>
  </si>
  <si>
    <t>Purpose</t>
  </si>
  <si>
    <t>Definitions</t>
  </si>
  <si>
    <t>X-axis</t>
  </si>
  <si>
    <t>Camera Coordinate System X-axis</t>
  </si>
  <si>
    <t>Y-axis</t>
  </si>
  <si>
    <t>Camera Coordinate System Y-axis</t>
  </si>
  <si>
    <t>Z-axis</t>
  </si>
  <si>
    <t>Camera Coordinate System Z-axis</t>
  </si>
  <si>
    <t>References</t>
  </si>
  <si>
    <t>Change Log</t>
  </si>
  <si>
    <t>Revision A</t>
  </si>
  <si>
    <t>&gt;MN: started workbook change tracking</t>
  </si>
  <si>
    <t>LSST Camera Assembly and Alignment Tolerance Stack-ups</t>
  </si>
  <si>
    <t>System Engineering, Integration and Test</t>
  </si>
  <si>
    <t>Decenter  (+/-) (mcrons)</t>
  </si>
  <si>
    <t>Piston
 (+/-) (microns)</t>
  </si>
  <si>
    <t>RSS</t>
  </si>
  <si>
    <t>Sum</t>
  </si>
  <si>
    <t>De-center at back flange to compensate for detector plane tip/tilt</t>
  </si>
  <si>
    <t>Detector Plane Tip/Tilt and Piston position and attitude errors are the sole contributors to Tip/Tilt and Piston tolerance stack-up of the best-fit optical axis</t>
  </si>
  <si>
    <t>L3 lens figure Decenter is the sole contributor to Decenter of the best-fit optical axis</t>
  </si>
  <si>
    <t>Since L3 cannot be re-positioned, this defines the as-built wedge and piston tolerances of the L3 lens wrt the detector plane/best-fit optical axis</t>
  </si>
  <si>
    <t>Piston 
(+/-) (microns)</t>
  </si>
  <si>
    <t>Decenter (+/-) (microns)</t>
  </si>
  <si>
    <t>Datum feature measurement precision</t>
  </si>
  <si>
    <t>Toleranced dims to cryostat interface pins and recess on back flange</t>
  </si>
  <si>
    <t>Cryostat front flange SMR position measurement precision</t>
  </si>
  <si>
    <t>Precision of position survey of L3 fiducials</t>
  </si>
  <si>
    <t>SMR locations are measured on a CMM so precision is very good</t>
  </si>
  <si>
    <t>Accuracy with which the filter mount features can be placed with respect to the auto changer mount datums;  includes errors in the filter simulator reference gauge; includes difference in position of the two auto changer modules</t>
  </si>
  <si>
    <t>Filter cell SMR position measurements</t>
  </si>
  <si>
    <t>Precision of position survey of Filter fiducials--this may not be possible to survey, so filter position and accuracy would be inferred from filter and auto changer mount accuracies and measurement precisions</t>
  </si>
  <si>
    <t>Uncorrected position of Filter with respect to the camera back flange</t>
  </si>
  <si>
    <t>BFOA</t>
  </si>
  <si>
    <t>2.  Summary of Camera Assembly and Alignment Tolerances</t>
  </si>
  <si>
    <t>Grid K-C ball best-fit plane</t>
  </si>
  <si>
    <t>K-C ball co-planarity profile tolerance</t>
  </si>
  <si>
    <t>Spread/variability of K-C balls wrt best-fit interface plane</t>
  </si>
  <si>
    <t>Sensor profile/height</t>
  </si>
  <si>
    <t>Raft base plate K-C V-groove mount</t>
  </si>
  <si>
    <t>Detector plane flatness/profile with respect to best-fit detector plane</t>
  </si>
  <si>
    <t>RMS flatness of the detector plane wrt the best-fit plane</t>
  </si>
  <si>
    <t>Detector plane flatness/profile with respect to the best-fit detector plane</t>
  </si>
  <si>
    <t>Meas or Place</t>
  </si>
  <si>
    <t>P</t>
  </si>
  <si>
    <t>M</t>
  </si>
  <si>
    <t>Camera back flange rotator interface features</t>
  </si>
  <si>
    <t>Slop in pin clearances; no tip/tilt repeatability errors</t>
  </si>
  <si>
    <t>Cryostat mount flange mount features</t>
  </si>
  <si>
    <t>Cryostat front flange L3 mount features</t>
  </si>
  <si>
    <t>Mount features are measured on a CMM so precision is very good</t>
  </si>
  <si>
    <t>Survey precision to laser tracker world coordinate system</t>
  </si>
  <si>
    <t>Camera front flange mount features</t>
  </si>
  <si>
    <t>Auto changer mounting repeatability</t>
  </si>
  <si>
    <t>Auto changer mount features</t>
  </si>
  <si>
    <t>&gt;MN: double-checked constituent tolerance values; tweaked wording to clarify as needed; added summary sheet; added 'Alignment Summary' sheet to show high-level roll-ups; added detector plane flatness parameters to all sheets; added "measurement" and "placement" field to clarify the nature of each tolerance</t>
  </si>
  <si>
    <t>Filter placement repeatability</t>
  </si>
  <si>
    <t>C-094: Auto Changer shall place a filter into position with a repeatability of +/- 0.1 mm in the XY-plane</t>
  </si>
  <si>
    <t>&gt;MN: added filter position repeatability tolerance and added it to stack-ups</t>
  </si>
  <si>
    <t>Derived Requirement in Subsystem Spec</t>
  </si>
  <si>
    <t>Nominal Dimensions</t>
  </si>
  <si>
    <t>X/Radial</t>
  </si>
  <si>
    <t>Y</t>
  </si>
  <si>
    <t>Z</t>
  </si>
  <si>
    <t>Camera front flange L1-L2 Ass'y mount features</t>
  </si>
  <si>
    <t>Camera front flange Shutter mount features</t>
  </si>
  <si>
    <t>Camera front flange Auto Changer mount features</t>
  </si>
  <si>
    <t>Camera back flange Cryostat mount features</t>
  </si>
  <si>
    <t>Interface Description</t>
  </si>
  <si>
    <t>Recess in back flange with 2 pins (engages hole/slot pair in cryostat)</t>
  </si>
  <si>
    <t>Shoulder/annulus on inside of back flange</t>
  </si>
  <si>
    <t>Bolt circle of 6 alignment pins, 1/strut foot</t>
  </si>
  <si>
    <t>2 lands on +Y side of camera front flange with 2 pins for X and Z positioning (engages match-fit holes in auto changer)</t>
  </si>
  <si>
    <t>Front flange surfaces with 2 pins (engages hole/slot pair in shutter)</t>
  </si>
  <si>
    <t>&gt;MN: added 'Key Interface Dimensions' sheet to capture nominal dimensions to subsystem interface features; added additional stack-ups to calculate subsystem tolerances and listed all derived requirements coming out of this analysis to subsystem specification documents</t>
  </si>
  <si>
    <t>Cryostat mount flange</t>
  </si>
  <si>
    <t>Cryo Plate mount surface</t>
  </si>
  <si>
    <t>Shutter blade first surface</t>
  </si>
  <si>
    <t>Filter frame mount features</t>
  </si>
  <si>
    <t>Filter first surface</t>
  </si>
  <si>
    <t>L3 lens first surface</t>
  </si>
  <si>
    <t>L1 lens first surface</t>
  </si>
  <si>
    <t>L2 lens first surface</t>
  </si>
  <si>
    <t>Cross-Checks</t>
  </si>
  <si>
    <t>Camera back flange</t>
  </si>
  <si>
    <t>Raft best-fit detector plane</t>
  </si>
  <si>
    <t>Cryostat front flange</t>
  </si>
  <si>
    <t>Cryostat front flange L3 interface surface</t>
  </si>
  <si>
    <t>&gt;MN:  added stack-ups to interface features for use in cryostat and camera body subsystem spec's; added interface section to 'Summary' sheet</t>
  </si>
  <si>
    <t>INTERFACE TOLERANCE (Optics)</t>
  </si>
  <si>
    <t>INTERFACE TOLERANCE (Cryostat)</t>
  </si>
  <si>
    <t>L3 lens interface position/orientation off cryostat back flange</t>
  </si>
  <si>
    <t>Interface Features</t>
  </si>
  <si>
    <t>5. Key Interface Nominal Dimensions</t>
  </si>
  <si>
    <t>Updated</t>
  </si>
  <si>
    <t>L1-L2 lens pair</t>
  </si>
  <si>
    <t>&gt;MN: removed separate L2 lens tolerances and re-cast all tol's and alignments in terms of the L1-L2 pair, since they will be null tested as a unit then never touched.</t>
  </si>
  <si>
    <t>&gt;MN: filled in values in 'Key Interface Dimensions' tab for use in subsystem spec's</t>
  </si>
  <si>
    <t>Camera back flange Carousel mount features</t>
  </si>
  <si>
    <t>Y from Above</t>
  </si>
  <si>
    <t>Z from LCA-126</t>
  </si>
  <si>
    <t>Z from Above</t>
  </si>
  <si>
    <t>Grid K-C ball best-fit plane adjustment accuracy</t>
  </si>
  <si>
    <t>Accuracy with which the K-C best-fit plane can be moved to a pre-determined tip/tilt and Z location, by shimming flexure feet off the cryostat front flange</t>
  </si>
  <si>
    <t>&gt;MN:  modified grid K-C ball plane numbers to include adjustment capability of the grid in the cryostat; increased CMM precision tolerance to 20 microns</t>
  </si>
  <si>
    <t>&gt;MN:  broadened tolerances on SMR position measurement precision for optical elements in null test per J. Taylor; reduced laser tracker survey precision from ~100 um to ~50 um per R. Ruland analysis work</t>
  </si>
  <si>
    <t>L3 optical axis</t>
  </si>
  <si>
    <t>L3 flange SMR position measurement</t>
  </si>
  <si>
    <t>L2 optical axis</t>
  </si>
  <si>
    <t>L3 lens optical axis position/orientation off L3 flange interface features</t>
  </si>
  <si>
    <t>L3 lens optical axis position/orientation off of back flange</t>
  </si>
  <si>
    <t>L3 lens optical axis position/orientation with respect to the best-fit detector plane</t>
  </si>
  <si>
    <t>Filter optical axis position/orientation off of interface features on frame</t>
  </si>
  <si>
    <t>Filter optical axis position/orientation off interface features on frame</t>
  </si>
  <si>
    <t>&gt;MN: significant update to all optics inputs based on tables that John Taylor put together; fixed and checked all roll-ups</t>
  </si>
  <si>
    <t>&gt;MN: misc clean-ups;</t>
  </si>
  <si>
    <t>&gt;MN: updated filter positioning range, accuracy and repeatability in Auto Changer to reflect more rational tolerances--need to update LCA-17 IQ Error Budget to match proposed values shown in Tab 2; add roll-up for the aligned filter in the 'Stack-up' tab and to the summary sheet</t>
  </si>
  <si>
    <t>&gt;MN: modified auto changer interface Y-dim from 595.73 to 597.50</t>
  </si>
  <si>
    <t>&gt;MN: modified front flange feature tolerances from +/- 50 to +/- 100</t>
  </si>
  <si>
    <t>&gt;MN: added constituent tolerances and stack-ups for wavefront and guide sensors on corner raft</t>
  </si>
  <si>
    <t>Wavefront and guide sensor and corner raft flatness</t>
  </si>
  <si>
    <t>WFS half-sensor parallelism</t>
  </si>
  <si>
    <t>WFS half-sensor flatness</t>
  </si>
  <si>
    <t>Corner raft plate K-C V-groove mount</t>
  </si>
  <si>
    <t>WFS half-sensor position</t>
  </si>
  <si>
    <t>WFS split-plane</t>
  </si>
  <si>
    <t>CRft</t>
  </si>
  <si>
    <t>Guide sensors</t>
  </si>
  <si>
    <t>Tolerance on positioning Guide sensor with respect to the raft V-grooves, either by dead-reckoning or shimming</t>
  </si>
  <si>
    <t>Ball diameter shimming</t>
  </si>
  <si>
    <t>Best-fit detector plane</t>
  </si>
  <si>
    <t>K-C ball diameter range</t>
  </si>
  <si>
    <t>Range of ball diameters provided with the Grid for shimming the corner rafts with respect to  the best-fit detector plane</t>
  </si>
  <si>
    <t>Flatness of half-sensor (95% of pixels)</t>
  </si>
  <si>
    <t>Parallelism to the raft V-grooves, either by dead-reckoning or shimming</t>
  </si>
  <si>
    <t>Tolerance on position of split sensor wrt raft V-grooves; bounds tolerance on separation of split sensors</t>
  </si>
  <si>
    <t>Tolerance on positioning of WFS pair--as defined by their split-plane position--with respect to the raft V-grooves, either by dead-reckoning or shimming</t>
  </si>
  <si>
    <t>Precision with which the CRft WFS best-fit plane can be shimmed and measured with respect to the best-fit detector plane</t>
  </si>
  <si>
    <t>&gt;MN: tweaked filter positioning range, accuracy and repeatability in Auto Changer to agree with spec and make reasonable for fab and assembly</t>
  </si>
  <si>
    <t>Filter frame interface datum</t>
  </si>
  <si>
    <t>&gt;MN: updated L1-L2, filter, and L3 assembly and alignment methodology to agree with plans</t>
  </si>
  <si>
    <t>Comment/Issue to be resolved</t>
  </si>
  <si>
    <t>SRft</t>
  </si>
  <si>
    <t>L2 -S2 divots</t>
  </si>
  <si>
    <t>L2-S1 and L2-S2 optical surfaces measured w/laser tracker or equiv, to determine optical axis/origin of L2 (a.k.a.: L1-L2 optical axis), and measurement of L2-S2 divots in glass wrt to that axis</t>
  </si>
  <si>
    <t>L1-L2 temporary SMRs</t>
  </si>
  <si>
    <t>Measurement uncertainty of determining offset locations of temp SMR positions relative to L2-S2 divots during optical measurements</t>
  </si>
  <si>
    <t>L1 optical axis and origin</t>
  </si>
  <si>
    <t>L2 optical axis and origin</t>
  </si>
  <si>
    <t>L2 temporary SMRs</t>
  </si>
  <si>
    <t>L1 temporary SMRs</t>
  </si>
  <si>
    <t>Measurement uncertainty of determining offset locations of temp SMR positions on L1 cell relative to optical surfaces during optical measurement of L1</t>
  </si>
  <si>
    <t>L1  lens placement</t>
  </si>
  <si>
    <t>Accuracy with which L1 lens can be placed in the correct location wrt L2 optical axis, based on precision of adjustment mechanism</t>
  </si>
  <si>
    <t>Measurement precision of L1 SMRs to L2 SMRs</t>
  </si>
  <si>
    <t>Seating error/play in SMRs, affecting survey precision</t>
  </si>
  <si>
    <t>Laser metrology uncertainty of 50 microns, includes 2x margin</t>
  </si>
  <si>
    <t>L1-L2 assembly</t>
  </si>
  <si>
    <t>L1-L2 assembly SMRs</t>
  </si>
  <si>
    <t>Seating error/play</t>
  </si>
  <si>
    <t>Accuracy with which L1 -L2 assy can be placed in a pre-determined location wrt CCS, based on strut adjustment quantization</t>
  </si>
  <si>
    <t>Camera</t>
  </si>
  <si>
    <t>Survey precision to camera best-fit optical axis</t>
  </si>
  <si>
    <t>Position of the L1 lens with respect to the L2 optical axis</t>
  </si>
  <si>
    <t>Placement and measurement precision of L1 wrt L2</t>
  </si>
  <si>
    <t>Placement and measurement precision during optical alignment</t>
  </si>
  <si>
    <t>Filter frame seat</t>
  </si>
  <si>
    <t>Installation of the optic into the frame; piston controlled by PEEK shims; glass centered on frame with CMM or depth gauge; tip/tilt a function of figure errors and figure position wrt glass OD</t>
  </si>
  <si>
    <t>Filter frame interface datum features</t>
  </si>
  <si>
    <t>Filter frame SMR nest position accuracy and measurement precision</t>
  </si>
  <si>
    <t>Fab accuracy of SMR nests with respect to filter frame datums; measured with CMM; SMR positions to mech center of frame is used for surveying</t>
  </si>
  <si>
    <t>L3 flange interface datum features</t>
  </si>
  <si>
    <t>Accuracy of measuring and aligning the L3 optic in the flange, with respect to the flange interface features; includes all null test set-up and inspection tolerances, and flange fab tolerances</t>
  </si>
  <si>
    <t>This is the total accuracy, so knowledge should be better than this, but optics has no spec for this</t>
  </si>
  <si>
    <t>Raft K-C ball best-fit plane</t>
  </si>
  <si>
    <t>REC base mount surface</t>
  </si>
  <si>
    <t>REB thermal strap mount face</t>
  </si>
  <si>
    <t>L3 flange SMR measurement precision, position stability</t>
  </si>
  <si>
    <t>Includes measurement precision of SMRs wrt L3 optical axis and stability/ reproducibility of SMR mounting and measurement off of L3 flange</t>
  </si>
  <si>
    <t>30-Apr-2015: this is too tight; check with Pierre on what he expects for this</t>
  </si>
  <si>
    <t>Comments/Issues to be Resolved</t>
  </si>
  <si>
    <t>3.  Camera Assembly and Alignment Tolerance Stack-ups</t>
  </si>
  <si>
    <t>4.  Camera Fabrication, Measurement, Survey, and Alignment Tolerances</t>
  </si>
  <si>
    <t>Export to LCA-00017 IQ Error Budget</t>
  </si>
  <si>
    <t>LSE-80 Interface Tolerance (Cam)</t>
  </si>
  <si>
    <t>Demonstrates compliance with LSE-80 interface req; contributes to hexapod range of motion</t>
  </si>
  <si>
    <t>Required as a deliverable in LSE-80</t>
  </si>
  <si>
    <t>These are based solely on fabrication/measurement tolerances, with no provision for alignment</t>
  </si>
  <si>
    <t>Source of Optics interface tolerance req</t>
  </si>
  <si>
    <t>Source of Cryostat interface tolerance req</t>
  </si>
  <si>
    <t>Export to Optics Spec</t>
  </si>
  <si>
    <t>Export to Cryostat Spec</t>
  </si>
  <si>
    <t>Export to Exchange System Spec</t>
  </si>
  <si>
    <t>Use</t>
  </si>
  <si>
    <t>C-EXCH-190: Filter mount clamps shall have an adjustment range of 400 um in any direction</t>
  </si>
  <si>
    <t>C-EXCH-192: The Auto Changer installation to the camera front flange shall be repeatable to within 100 microns in any direction</t>
  </si>
  <si>
    <t>C-OPT-241: The L3 lens optical axis shall be positioned relative to the interface datums on the flange, to within 80 microns decenter, 30 microns piston, and 50 urad tip/tilt.</t>
  </si>
  <si>
    <t>Export to LCA-00017 IQ Error Budget; export to Optics Spec</t>
  </si>
  <si>
    <t>C-OPT-246: The filter shall be positioned relative to the filter frame interface datums, such that 1) the angle between the filter assembly centerline (defined by the interface datums) and the S1 surface normal at the centerline shall be less than 200 microradians and 2) the s1 surface at the centerline shall have less than 100 microns piston error</t>
  </si>
  <si>
    <t>&gt;MN: clean up; removed double-counting of measurement errors from definition of best-fit optical axis; added references to all requirements spawned by this analysis document and items that are slotted into LCA-17 IQ Error budget analysis</t>
  </si>
  <si>
    <t>This document collects the bottoms-up assembly and alignment tolerances and stacks them up to camera-level interface and alignment tolerances used in subsystem specs and as input to LCA-00017, the "Image Quality Error Budget;" all tolerances apply at 20 degC</t>
  </si>
  <si>
    <t>L3 lens optical axis position/orientation wrt best-fit detector plane</t>
  </si>
  <si>
    <t>Camera Best-Fit Optical Axis knowledge with respect to the world</t>
  </si>
  <si>
    <t>Camera Best-Fit Optical Axis position and attitude with respect to the back flange</t>
  </si>
  <si>
    <t>Knowledge of the L2 optical axis with respect to the Camera Best-Fit Optical Axis</t>
  </si>
  <si>
    <t>Position of the aligned L1-L2 lens pair optical axis with respect to the Camera Best-Fit Optical Axis</t>
  </si>
  <si>
    <t>Max position error of dead-reckoned filter in auto changer with respect to the Camera Best-Fit Optical Axis</t>
  </si>
  <si>
    <t>Uncorrected position of Filter with respect to the Camera Best-Fit Optical Axis</t>
  </si>
  <si>
    <t>Position of the aligned Filter optical axis with respect to the Camera Best-Fit Optical Axis</t>
  </si>
  <si>
    <t>Placement and measurement precision after Filter alignment to Camera Best-Fit Optical Axis</t>
  </si>
  <si>
    <t>Knowledge of L2 figure position wrt Camera Best-Fit Optical Axis</t>
  </si>
  <si>
    <t>Knowledge of Camera Best-Fit Optical Axis with respect to global survey coordinates</t>
  </si>
  <si>
    <t>&gt;MN: updates and clean-ups from CTM review; standardized on use of "Camera Best-Fit Optical Axis;" removed details of detector plane flatness and referred to LCA-10066 Sci Raft flatness budget; added note that all tolerances apply at 20 degC;</t>
  </si>
  <si>
    <t>L1-L2 front-facing permanent SMRs</t>
  </si>
  <si>
    <t>Measurement uncertainty of determining offset locations of permanent SMR positions relative to L1-L2 optical axis during optical measurements of the L1-L2 pair</t>
  </si>
  <si>
    <t>&gt;MN: added RSA fit-up and detector plane metrology values;</t>
  </si>
  <si>
    <t>Detector plane flatness and Grid K-C interface plane tip/tilt</t>
  </si>
  <si>
    <t>RSA mounting repeatability on K-C balls</t>
  </si>
  <si>
    <t>Placement error of RSA due to friction and surface finish causing sticking of vee-blocks on balls</t>
  </si>
  <si>
    <t>Detector plane best-fit plane</t>
  </si>
  <si>
    <t>Metrology precision and best-fit plane definition error of detector plane</t>
  </si>
  <si>
    <t>Metrology precision and best-fit plane definition error of K-C ball plane</t>
  </si>
  <si>
    <t>Measurement precision of detector metrology system and imprecision of best-fit plane definition</t>
  </si>
  <si>
    <t>&gt;MN: incorporated corrections from Aaron Roodman and Scott Winters</t>
  </si>
  <si>
    <t>Best-fit optical axis: XY-plane is defined by best-fit detector plane; Z-axis defined by optical center of L3 lens first surface; origin defined as intersection of Z-axis on XY-plane</t>
  </si>
  <si>
    <t>M, Meas</t>
  </si>
  <si>
    <t>Error due to imprecision of measurement process</t>
  </si>
  <si>
    <t>P, Place</t>
  </si>
  <si>
    <t>Error due to machining, fabrication, assembly placement, or alignment tolerance</t>
  </si>
  <si>
    <t>Description</t>
  </si>
  <si>
    <t>All "constituent" or lowest-tier tolerances are assumed to be not-to-exceed or 2-sigma tolerances</t>
  </si>
  <si>
    <t>Tip/Tilt angle tolerance: angle of maximum deviation from normal to z-axis
Piston tolerance: +- maximum deviation from nominal z-axis location
Decenter tolerance: +- maximum deviation from x-y origin
Parallel/Flatness tolerance: full-width profile tolerance of deviation from nominal z-dimension</t>
  </si>
  <si>
    <t>21  May 2015: updated per mark-up from Scott Winters</t>
  </si>
  <si>
    <t>Fabrication accuracy of frame seat to datums, including datum profile, pin true position &amp; datum size; measured with CMM and /or depth gauge</t>
  </si>
  <si>
    <r>
      <t xml:space="preserve">L1-L2 assembly </t>
    </r>
    <r>
      <rPr>
        <sz val="11"/>
        <color rgb="FFFF0000"/>
        <rFont val="Calibri"/>
        <family val="2"/>
        <scheme val="minor"/>
      </rPr>
      <t>optical axis</t>
    </r>
  </si>
  <si>
    <r>
      <t xml:space="preserve">The L1 optical axis shall be positioned relative to the L2 optical axis to within </t>
    </r>
    <r>
      <rPr>
        <sz val="11"/>
        <color rgb="FFFF0000"/>
        <rFont val="Calibri"/>
        <family val="2"/>
        <scheme val="minor"/>
      </rPr>
      <t>100 microns</t>
    </r>
    <r>
      <rPr>
        <sz val="11"/>
        <color theme="1"/>
        <rFont val="Calibri"/>
        <family val="2"/>
        <scheme val="minor"/>
      </rPr>
      <t xml:space="preserve"> piston, </t>
    </r>
    <r>
      <rPr>
        <sz val="11"/>
        <color rgb="FFFF0000"/>
        <rFont val="Calibri"/>
        <family val="2"/>
        <scheme val="minor"/>
      </rPr>
      <t>100 microns</t>
    </r>
    <r>
      <rPr>
        <sz val="11"/>
        <color theme="1"/>
        <rFont val="Calibri"/>
        <family val="2"/>
        <scheme val="minor"/>
      </rPr>
      <t xml:space="preserve"> de-center, and </t>
    </r>
    <r>
      <rPr>
        <sz val="11"/>
        <color rgb="FFFF0000"/>
        <rFont val="Calibri"/>
        <family val="2"/>
        <scheme val="minor"/>
      </rPr>
      <t>65 micro-radians</t>
    </r>
    <r>
      <rPr>
        <sz val="11"/>
        <color theme="1"/>
        <rFont val="Calibri"/>
        <family val="2"/>
        <scheme val="minor"/>
      </rPr>
      <t xml:space="preserve"> tip/tilt</t>
    </r>
  </si>
  <si>
    <t>&gt;MN: updated definition of filter placement constituent tolerance; cleaned out old comments</t>
  </si>
  <si>
    <t>Filter S1 surface normal at physical center of frame seat</t>
  </si>
  <si>
    <t>The temporary SMRs locations shall be known to an accuracy of +/- 50 microns with respect to the L2 optical axis</t>
  </si>
  <si>
    <t>&gt;PH Incorporated comments/corrections from Scott Winters</t>
  </si>
  <si>
    <t>Allocated, 0.145 (100um TIR), 100, N/A</t>
  </si>
  <si>
    <t>Allocated, 0.145 (100um TIR), 100, 150</t>
  </si>
  <si>
    <t>Allocation, 1.33 (1mm TIR), 300 , 1000</t>
  </si>
  <si>
    <t>Allocated 0.73 (80 um TIR),75, 75</t>
  </si>
  <si>
    <t>Allocated 0.128 (200um TIR), 175, 175</t>
  </si>
  <si>
    <t>Allocated 0.91, 80, 80</t>
  </si>
  <si>
    <t>Released per LCN-1356</t>
  </si>
  <si>
    <t>Revision B</t>
  </si>
  <si>
    <t>&gt;VR: Made consistent with L3 proposed requirements updates with TSESO vendor of SMR at 35um, L3 piston of 50um and L3 tip-tilt of 90urad. Summary line 10, 11, 12 are updated. Consituent tolerance tab line 38 updated. SMR number was already at 35um.</t>
  </si>
  <si>
    <t>&gt; VR: incoproated changes proposed by I&amp;T regarding measurement precision of the CCD flatness</t>
  </si>
  <si>
    <t>1 Jan 2016: updated per meeting with Martin, Vincent and Scott</t>
  </si>
  <si>
    <t>01-Feb-2016: Updated to match LCA-17</t>
  </si>
  <si>
    <t>Released per LCN-1515</t>
  </si>
  <si>
    <t>Revision C</t>
  </si>
  <si>
    <t>&gt; VR: Add WFS tolerance stackup</t>
  </si>
  <si>
    <t>WFS separation error</t>
  </si>
  <si>
    <t>Intra focalWFS to extra focal WFS tolerance</t>
  </si>
  <si>
    <t>Tolerance on split sensor separation (nominal is 4mm separation)</t>
  </si>
  <si>
    <t>WFS half-sensor height</t>
  </si>
  <si>
    <t>Profile tolerance of WFS with respect to K-C ball grooves, incl sensor, step plate, raft plate fab tol's and measurement precision</t>
  </si>
  <si>
    <t>WFS split plane with respect to best-fit detector plane</t>
  </si>
  <si>
    <t>WFS profile with respect to best-fit detector plane</t>
  </si>
  <si>
    <t>C-CRFT-116: The z direction surface of each wavefront detector shall be contained within +/- 15 microns of its nominal position and shall have 95 percent of the sensor area contained within +/- 5 microns of the best fit plane for that half wavefront sensor</t>
  </si>
  <si>
    <t>C-CRFT-203: The z direction separation between the two wavefront detectors shall have an error of +/- 0.1 mm.</t>
  </si>
  <si>
    <t>Guider profile with respect to best-fit detector plane</t>
  </si>
  <si>
    <t>CA-TS-GDR-ICD-0017 (+/-30um)</t>
  </si>
  <si>
    <t>CA-TS-WFS-ICD-0008 (+/-15um)</t>
  </si>
  <si>
    <t>CA-TS-WFS-ICD-0018 (+/-25um)</t>
  </si>
  <si>
    <t>&gt;MN: added tab 6, "Cool-Down Thermal Motions" to capture thermal contraction and relative motions of components contributing to detector plane position</t>
  </si>
  <si>
    <t>&gt;MN: corrected nominal dimensions on Tab 5 to match CAD models</t>
  </si>
  <si>
    <t>&gt;MN: deleted tab 5 and copied in new versions of tabs 5 and 6 from a parallel draft, so all changes now show up in one draft</t>
  </si>
  <si>
    <t>Detector plane</t>
  </si>
  <si>
    <t>6. Cool-Down Thermal Motions</t>
  </si>
  <si>
    <t>Science Raft Sensor Ass'y</t>
  </si>
  <si>
    <t>Corner Raft Sensor Ass'y</t>
  </si>
  <si>
    <t>ITL Sensor on Sci Raft</t>
  </si>
  <si>
    <t>e2V Sensor on Crnr Raft</t>
  </si>
  <si>
    <t>ITL Sensor on Crnr Raft</t>
  </si>
  <si>
    <t>WFS Split Plane</t>
  </si>
  <si>
    <t>Notes</t>
  </si>
  <si>
    <t>Nominal</t>
  </si>
  <si>
    <t>Raft baseplate from ball CL</t>
  </si>
  <si>
    <t>Corner raft guide sensor shim thick</t>
  </si>
  <si>
    <t>Sensor Znom</t>
  </si>
  <si>
    <t>Vincent Riot
Aaron Roodman</t>
  </si>
  <si>
    <t xml:space="preserve">C-OPT-282: The L1/L2 delivered assembly decenter shall be adjustable from the nominal positon with a range of +/-2mm and an accuracy of 25um
C-OPT-283: The L1/L2 delivered assembly tip-tilt shall be adjustable from the nominal positon with a range of +/-2mrad and an accuracy of 40urad
C-OPT-284: The L1/L2 delivered assembly piston shall be adjustable from the positon after the one time adjustment defined in C-OPT-222 with a range of +/-2mm and an accuracy of 25um. </t>
  </si>
  <si>
    <t>C-EXCH-191: The mount clamps shall be adjustable to an accuracy of 100 microns in any direction.</t>
  </si>
  <si>
    <t>C-OPT-336</t>
  </si>
  <si>
    <t>C-OPT-335</t>
  </si>
  <si>
    <t>&gt;MN: Tab 4: fixed ref to auto changer position req on camera housing--was: -924.62, should be: -923.58; fixed ref to detector plane K-C ball location on cryostat--was 835.47, should be: -835.463; updated req wording to exactly match the req language in the respective spec's</t>
  </si>
  <si>
    <t>&gt;PAH: Annotated LCN-1623 changes (added a change reference column on tabs 3 and 4) and reduced WFS half sensor height from  15 to 14 to balance the budget. Also removed link to an older version of this sheet (used to put the document number on each tab).</t>
  </si>
  <si>
    <t>Change source</t>
  </si>
  <si>
    <t>LCN-1623</t>
  </si>
  <si>
    <t>C-</t>
  </si>
  <si>
    <t>Flowed to C-417 and C-CRFT-077</t>
  </si>
  <si>
    <t>Flowed to C-305 and C-CRFT-116</t>
  </si>
  <si>
    <t>Flowed to C-416 and C-CRFT-203</t>
  </si>
  <si>
    <t>8/30/2016 MN: Decenter was +/-50 which is too tight to fab; now is +/-125; 80 parallelism is OK</t>
  </si>
  <si>
    <t>8/30/2016 MN: Decenter on fit-up was +/-50, is +/-60; this is consistent with the D9h7 pinned joint fit-up</t>
  </si>
  <si>
    <r>
      <t>Toleranced offsets from back to front flange;</t>
    </r>
    <r>
      <rPr>
        <strike/>
        <sz val="11"/>
        <color theme="1"/>
        <rFont val="Calibri"/>
        <family val="2"/>
        <scheme val="minor"/>
      </rPr>
      <t xml:space="preserve"> assumes the body and flange are fabricated together</t>
    </r>
  </si>
  <si>
    <t>8/30/2016 MN: Piston was +/-50, is +/-150 since back flange and housing are fabricated separately and tol's were far too tight; parallelism tol of 100 is unchanged; decenter was 100, is 250 due to added tolerance of making parts independently</t>
  </si>
  <si>
    <t>8/30/2016 MN: Decenter was 167, is 205</t>
  </si>
  <si>
    <t>8/30/2016 MN: Decenter was 435, is 520</t>
  </si>
  <si>
    <t>8/30/2016 MN: change in values does not affect req, since this is just a reporting req</t>
  </si>
  <si>
    <t>8/30/2016 MN: was +/-100, is +/-60 piston and decenter repeatability</t>
  </si>
  <si>
    <t>8/30/2016 MN: Piston was 389, is 406; Decenter was 416, is 483. Adjust range is not quite adequate for extremes of positioning error</t>
  </si>
  <si>
    <t>8/30/2016 MN: Piston was 380, is 398; Decenter was 381, is 437. Adjust range is not quite adequate for extremes of positioning error</t>
  </si>
  <si>
    <t>8/30/2016 MN: this has actually improved, but don't change what is shown in LCA-17. Piston was 228, is 214; decenter was 212, is 196.</t>
  </si>
  <si>
    <t>Change Notes</t>
  </si>
  <si>
    <t>8/30/2016 MN: Decenter RSS was 167, is 205. Does not impact any reqs since this is just a reporting req</t>
  </si>
  <si>
    <t>8/30/2016 MN: Piston RSS was 389, is 406; decenter RSS was 416, is 483; spec on auto changer is 400 so we are short on range</t>
  </si>
  <si>
    <t>8/30/2016 MN: This actually got better. Piston RSS was 228, is 214; Decenter RSS was 212, is 196</t>
  </si>
  <si>
    <r>
      <t xml:space="preserve">C-CBM-118: The camera body shall position the cryostat interface datums as defined in LCA-78 at -27.775 mm from the back flange, +/- 0.04 mm.
C-CBM-119: The camera body shall position the cryostat interface datums as defined in LCA-78 centered on the z-axis, within </t>
    </r>
    <r>
      <rPr>
        <sz val="11"/>
        <color rgb="FFFF0000"/>
        <rFont val="Calibri"/>
        <family val="2"/>
        <scheme val="minor"/>
      </rPr>
      <t>0.18 mm</t>
    </r>
    <r>
      <rPr>
        <sz val="11"/>
        <color theme="1"/>
        <rFont val="Calibri"/>
        <family val="2"/>
        <scheme val="minor"/>
      </rPr>
      <t xml:space="preserve"> </t>
    </r>
    <r>
      <rPr>
        <strike/>
        <sz val="11"/>
        <color rgb="FFFF0000"/>
        <rFont val="Calibri"/>
        <family val="2"/>
        <scheme val="minor"/>
      </rPr>
      <t>0.05 mm</t>
    </r>
    <r>
      <rPr>
        <sz val="11"/>
        <color theme="1"/>
        <rFont val="Calibri"/>
        <family val="2"/>
        <scheme val="minor"/>
      </rPr>
      <t>.</t>
    </r>
  </si>
  <si>
    <r>
      <t>C-CBM-122: The camera body shall position the auto changer interface datums as defined in LCA-74 at</t>
    </r>
    <r>
      <rPr>
        <sz val="11"/>
        <color theme="6" tint="-0.249977111117893"/>
        <rFont val="Calibri"/>
        <family val="2"/>
        <scheme val="minor"/>
      </rPr>
      <t xml:space="preserve"> </t>
    </r>
    <r>
      <rPr>
        <sz val="11"/>
        <color rgb="FFFF0000"/>
        <rFont val="Calibri"/>
        <family val="2"/>
        <scheme val="minor"/>
      </rPr>
      <t xml:space="preserve">-926.548 mm </t>
    </r>
    <r>
      <rPr>
        <strike/>
        <sz val="11"/>
        <color rgb="FFFF0000"/>
        <rFont val="Calibri"/>
        <family val="2"/>
        <scheme val="minor"/>
      </rPr>
      <t>-923.548 mm</t>
    </r>
    <r>
      <rPr>
        <sz val="11"/>
        <color theme="1"/>
        <rFont val="Calibri"/>
        <family val="2"/>
        <scheme val="minor"/>
      </rPr>
      <t xml:space="preserve"> </t>
    </r>
    <r>
      <rPr>
        <strike/>
        <sz val="11"/>
        <color rgb="FFFF0000"/>
        <rFont val="Calibri"/>
        <family val="2"/>
        <scheme val="minor"/>
      </rPr>
      <t>-924.62 mm</t>
    </r>
    <r>
      <rPr>
        <sz val="11"/>
        <color theme="1"/>
        <rFont val="Calibri"/>
        <family val="2"/>
        <scheme val="minor"/>
      </rPr>
      <t xml:space="preserve"> from the back flange, +/- 0.05 mm.
C-CBM-123: The camera body shall position the auto changer interface datums as defined in LCA-74 at +597.50mm from the xz-plane, within </t>
    </r>
    <r>
      <rPr>
        <sz val="11"/>
        <color rgb="FFFF0000"/>
        <rFont val="Calibri"/>
        <family val="2"/>
        <scheme val="minor"/>
      </rPr>
      <t xml:space="preserve">0.23 mm, flat to 0.02 mm  </t>
    </r>
    <r>
      <rPr>
        <strike/>
        <sz val="11"/>
        <color rgb="FFFF0000"/>
        <rFont val="Calibri"/>
        <family val="2"/>
        <scheme val="minor"/>
      </rPr>
      <t>0.05 mm</t>
    </r>
    <r>
      <rPr>
        <sz val="11"/>
        <color theme="1"/>
        <rFont val="Calibri"/>
        <family val="2"/>
        <scheme val="minor"/>
      </rPr>
      <t xml:space="preserve">.
C-CBM-124: The camera body shall position the L1/L2 assembly interface datums as defined in LCA-77 at 979.05 mm from the back flange, </t>
    </r>
    <r>
      <rPr>
        <sz val="11"/>
        <color rgb="FFFF0000"/>
        <rFont val="Calibri"/>
        <family val="2"/>
        <scheme val="minor"/>
      </rPr>
      <t xml:space="preserve">+/- 0.15 mm, parallel to 0.05 mm </t>
    </r>
    <r>
      <rPr>
        <strike/>
        <sz val="11"/>
        <color rgb="FFFF0000"/>
        <rFont val="Calibri"/>
        <family val="2"/>
        <scheme val="minor"/>
      </rPr>
      <t>0.05 mm</t>
    </r>
    <r>
      <rPr>
        <sz val="11"/>
        <color rgb="FFFF0000"/>
        <rFont val="Calibri"/>
        <family val="2"/>
        <scheme val="minor"/>
      </rPr>
      <t>.</t>
    </r>
    <r>
      <rPr>
        <sz val="11"/>
        <color theme="1"/>
        <rFont val="Calibri"/>
        <family val="2"/>
        <scheme val="minor"/>
      </rPr>
      <t xml:space="preserve">
C-CBM-125: The camera body shall position the L1/L2 assembly interface datums as defined in LCA-77 centered on the z-axis, +/- </t>
    </r>
    <r>
      <rPr>
        <sz val="11"/>
        <color rgb="FFFF0000"/>
        <rFont val="Calibri"/>
        <family val="2"/>
        <scheme val="minor"/>
      </rPr>
      <t xml:space="preserve">0.34 mm </t>
    </r>
    <r>
      <rPr>
        <strike/>
        <sz val="11"/>
        <color rgb="FFFF0000"/>
        <rFont val="Calibri"/>
        <family val="2"/>
        <scheme val="minor"/>
      </rPr>
      <t>0.05 mm</t>
    </r>
    <r>
      <rPr>
        <sz val="11"/>
        <color theme="1"/>
        <rFont val="Calibri"/>
        <family val="2"/>
        <scheme val="minor"/>
      </rPr>
      <t xml:space="preserve">.
</t>
    </r>
    <r>
      <rPr>
        <sz val="11"/>
        <color rgb="FFFF0000"/>
        <rFont val="Calibri"/>
        <family val="2"/>
        <scheme val="minor"/>
      </rPr>
      <t>C-CBM-139: The camera body shall position the shutter interface datums as defined in LCA-73 at -979.05 from the back flange, +/- 0.15 mm, parallel to 0.05 mm.
C-CBM-140: The camera body shall position the shutter interface datums as defined in LCA-73 at -556.88 mm from the xz plane, +/-0.34 mm.</t>
    </r>
  </si>
  <si>
    <t>&gt;MN: updated camera body tolerances (changes shown in brown); only changes camera body positioning reqs with no effect on higher level requirements; on 'Key Interface Dimension' tab, auto changer z-position was 923.548, is 926.548, reflecting 3 mm move</t>
  </si>
  <si>
    <t>LCN-1652</t>
  </si>
  <si>
    <t>LCN-1623, LCN-1652</t>
  </si>
  <si>
    <t>Released per LCN-1652.</t>
  </si>
  <si>
    <t>Revision D</t>
  </si>
  <si>
    <t>Corner raft WFS step plate</t>
  </si>
  <si>
    <t>Corner raft WFS spacer plate 1/2 thk</t>
  </si>
  <si>
    <t>Baseplate</t>
  </si>
  <si>
    <t>Sensor</t>
  </si>
  <si>
    <t>Corner raft step plate+1/2 spacer pl</t>
  </si>
  <si>
    <t>Corner raft shims</t>
  </si>
  <si>
    <t>RSA Warm Height from 8 mm ball CL</t>
  </si>
  <si>
    <t>RSA final warm ht to ball CL w/final ball diam</t>
  </si>
  <si>
    <t>From LCA-10626 WFS Assy dwg</t>
  </si>
  <si>
    <t>From LCA-10628 Guide Snsr Assy dwg</t>
  </si>
  <si>
    <t>Final RSA warm ht off of grid flexure CL</t>
  </si>
  <si>
    <t>Surface to root of vee</t>
  </si>
  <si>
    <t>ECM HB CeSiC</t>
  </si>
  <si>
    <t>m/m/degC</t>
  </si>
  <si>
    <t>Grid, sci raft baseplate, corner raft baseplate</t>
  </si>
  <si>
    <t>Balls</t>
  </si>
  <si>
    <t>Tungsten carbide</t>
  </si>
  <si>
    <t>Silicon nitride</t>
  </si>
  <si>
    <t>Depth of vee in raft baseplate</t>
  </si>
  <si>
    <t>8 mm ball center to root of vee</t>
  </si>
  <si>
    <t>Nominal temp</t>
  </si>
  <si>
    <t>degC</t>
  </si>
  <si>
    <t>Si3N4 balls from Baltek</t>
  </si>
  <si>
    <t>Half-ht change from 8 mm to final diam</t>
  </si>
  <si>
    <t>Half-ht of final diam ball</t>
  </si>
  <si>
    <t>Final ball diameter</t>
  </si>
  <si>
    <t>RSA final cold ht to ball CL w/final ball diam</t>
  </si>
  <si>
    <t>Cold temp (RSA)</t>
  </si>
  <si>
    <t>Cold temp (Grid)</t>
  </si>
  <si>
    <t>Flexure CL to root of ball cup</t>
  </si>
  <si>
    <t>Grid to flexure CL</t>
  </si>
  <si>
    <t>Total shrinkage from detector plane to grid flexure CL</t>
  </si>
  <si>
    <t>Final Detector Plane cold ht off of grid flexure CL</t>
  </si>
  <si>
    <t>1/2*dHT = dDiam*SQRT(2)/2 to ball CL</t>
  </si>
  <si>
    <t>BNL test values for full sensors; calc for WFS</t>
  </si>
  <si>
    <t>1/2*dHT = dDiam*SQRT(2)/2 to grid ball cup root</t>
  </si>
  <si>
    <t>Thickness to split plane per LCN-1633 3mm spread</t>
  </si>
  <si>
    <t>LCA-57, Sci Raft Spec</t>
  </si>
  <si>
    <t>Change Source and Change</t>
  </si>
  <si>
    <t>&gt;MN: Started rev D to capture changes to '6. Cool-Down Thermal Motions,' specifically to update with final Znom and cool-down motions, finalize shim and ball diameters, and include corrections in grid offsets to place the detector plane in the correct location when cold</t>
  </si>
  <si>
    <t>&gt;MN: completed changes to '6. Cool-Down Thermal Motions' tab; this is no longer a draft sheet; changes to the tab have not been tracked since it was only a draft sheet in Revision C. Updated '5. Key Interface Dimensions' to reflect changes to detector plane and grid interface ball positions and offsets, with changes shown on that sheet</t>
  </si>
  <si>
    <t>RSA cold ht to ball CL w/ 8 mm balls</t>
  </si>
  <si>
    <t>e2V Sensor on Thin Sci Raft</t>
  </si>
  <si>
    <t>&gt;MN: updated '4. Constituent Tolerances' tab to reflect changes to the requirement wording on sensor and grid ball  positioning and tolerance requirements. Note that the req values themselves have not been changed, but wording modified to more clearly define them. This new requirement wording is exported to the corresponding subsystem spec by the same LCN that is releasing this revision of the document</t>
  </si>
  <si>
    <t>LCN-1719 (11/2016): -42.786 was -42.810; update reflects as-built values for ITL Znom and baseplate and applies when cold</t>
  </si>
  <si>
    <t>(LCN-1719) - C-CRYO-250, Grid K-C ball plane flatness:  the best-fit plane defined by the centers of the 8.000 mm kinematic-coupling interface ball centers on the grid shall be provided planar to &lt; 4 microns RSS.
Comment: With cryostat oriented to zenith pointing at 20C (room temperature)</t>
  </si>
  <si>
    <t>(LCN-1719) - C-SRFT-093, Absolute CCD plane height:  100% of the sensor surfaces on the RSA detector plane shall be positioned between 42.776 mm and 42.796 mm in Z from the plane defined by the centers of 8.000 mm kinematic-coupling interface balls.
Comment: This applies for all sensor types, over the working temperature range defined in C-SRFT-158, and includes effects of thermal loads, gravity, package flatness, measurement errors, and assembly effects</t>
  </si>
  <si>
    <t>(LCN-1719) - C-CRFT-077, WFS Z direction pixel location:  The average of the z locations of all the pixels of the two wavefront detectors of each wavefront sensor shall be positioned -42.786 mm in Z from the plane defined by the centers of 8.000 mm kinematic-coupling interace balls, within +/-18 microns piston.
Comment: This applies over the working temperature range defined in C-CRFT-130, and includes effects of thermal loads, gravity, package flatness, measurement errors, and assembly effects</t>
  </si>
  <si>
    <t>(LCN-1719) - C-CRFT-043, Detector height: Guide sensor surfaces on the RSA detector plane shall be positioned -42.786 mm in Z from the plane defined by the centers of 8.000 mm kinematic-coupling interface balls, within +/-25 microns. 5% of the detector active area is allowed to be out of this limit.
Comment: This applies over the working temperature range defined in C-CRFT-130, and includes effects of thermal loads, gravity, package flatness, measurement errors, and assembly effects</t>
  </si>
  <si>
    <t>LCN-1719</t>
  </si>
  <si>
    <t>&gt;MN: Revision released per LCN-1719</t>
  </si>
  <si>
    <t>Revision E</t>
  </si>
  <si>
    <t>LCA-121, Sci RTM IDD</t>
  </si>
  <si>
    <t>RSA sensor surface final warm height off cryostat front flange</t>
  </si>
  <si>
    <t>RSA sensor surface final cold height off cryostat front flange</t>
  </si>
  <si>
    <t>Cold position of detector plane with shimmed grid and flexure stack-up to L3 side of cryostat front flange</t>
  </si>
  <si>
    <t>&gt;MN: Started Rev E to capture final dimensions in '5. Key Interface Dimensions' tab for cryo and cold plate position; updated '6. Cool-Down Thermal Motions' tab to include the grid flexure shrinkage out to the cryostat front flange;</t>
  </si>
  <si>
    <t>&gt;MN: Revised and released with LCN-1767</t>
  </si>
  <si>
    <t>LCN-1767 (3/2017): 217.372 was 217.340, which had never been confirmed; new value applies when cold</t>
  </si>
  <si>
    <t>LCN-1767 (3/2017): 96.510 was 94.000, which had never been confirmed; new value applies when cold</t>
  </si>
  <si>
    <t>LCN-1767 (3/2017): new row; new value based on rev'd interface dims</t>
  </si>
  <si>
    <t>8 mm ball CL to grid flexure CL, warm</t>
  </si>
  <si>
    <t>Final diam ball CL to grid flexure CL, warm</t>
  </si>
  <si>
    <t>Cold distance of final diam K-C ball CL to grid flexure CL</t>
  </si>
  <si>
    <t>Cold distance of final diam K-C ball CL off cryostat front flange L3 surface</t>
  </si>
  <si>
    <t>LCN-1767 (3/2017): new row; new value</t>
  </si>
  <si>
    <t>LCN-1767 (3/2017): new row; = cold distance + shrinkage</t>
  </si>
  <si>
    <t>Warm final diam ball CL to cryostat front flange L3 surface</t>
  </si>
  <si>
    <t>LCN-1767 (3/2017): new row</t>
  </si>
  <si>
    <t>LCN-1767 (3/2017): new rows</t>
  </si>
  <si>
    <t>Titanium</t>
  </si>
  <si>
    <t>Titanium flexures</t>
  </si>
  <si>
    <t>Flexure stack shrinkage from grid flexure mount CL to cryostat front flange L3 surface</t>
  </si>
  <si>
    <t>Rev Date:</t>
  </si>
  <si>
    <t>Revision F</t>
  </si>
  <si>
    <t>Applies with cold mass cold</t>
  </si>
  <si>
    <t>As shown in Solid Edge CAD model</t>
  </si>
  <si>
    <t>Per J:  1.43e-6 m/m/degC</t>
  </si>
  <si>
    <t>LCA-00052, "Optics Spec," C-OPT-252</t>
  </si>
  <si>
    <t>LCA-00078 "Cryostat IDD," C-CRYO-391; old num was -910.050</t>
  </si>
  <si>
    <t>LCA-51, "Cryostat Spec," C-CRYO-392</t>
  </si>
  <si>
    <t>From J Langton's analysis (7/20/2017) of piecewise flexure contraction</t>
  </si>
  <si>
    <t>Warm distance of grid flexure mount CL to cryostat front flange L3 surface</t>
  </si>
  <si>
    <t>Cold distance of grid flexure mount CL to cryostat front flange L3 surface</t>
  </si>
  <si>
    <t>L3 lens second surface</t>
  </si>
  <si>
    <t>LCA-00052, "Optics Spec," C-OPT-080</t>
  </si>
  <si>
    <t>This is what the Solid Edge CAD model should show</t>
  </si>
  <si>
    <t>Per Antone from LCA-10133 Assy h'ware model; based on modified grid matching as-built (7/21/2017)</t>
  </si>
  <si>
    <t>Grid, Flexure, and Cryostat</t>
  </si>
  <si>
    <t>Raft Sensor Assembly</t>
  </si>
  <si>
    <t>Flexure, and Cryostat</t>
  </si>
  <si>
    <t>This warm number is built into mount lug by cryostat, to produce correct cold distance</t>
  </si>
  <si>
    <t>&gt;MN: started Rev F to capture final L3-Detector Plane and L2-Filter gaps to correct for mirror fabrication errors. Changed L3-FP and L2-Filter spacing and checked updated Z-positions of all optics and interface surfaces; updated 'Cool-Down Thermal Motions' tab to account for grid and grid flexure thermal contraction; update grid K-C ball plane position to correct for all these changes</t>
  </si>
  <si>
    <t>LCN-1898 (7/2017): 101.992 was 102.637, based on LCA-10307-C Grid Dwg; 101.992 per rev D</t>
  </si>
  <si>
    <t xml:space="preserve">&gt;Updated to reflect changes to compensations, per work by Chuck Claver and Harris. Changed L3S2-FP spacing to 28.821 (28.781 earlier) and L2S2-FS1 spacing to 347.383 (347.167 earlier)
&gt;Summary of L1-L2 and detector plane position changes captured in: https://docushare.lsstcorp.org/docushare/dsweb/View/Collection-3148/Document-26463 </t>
  </si>
  <si>
    <t>LCN-1898 (9/2017): 88.821 was 88.500; change is +0.321 to correct for mirror as-built shape; applies with cold mass cold</t>
  </si>
  <si>
    <t>LCN-1898 (9/2017): -905.727 was -906.048; change is +0.321 to correct for mirror as-built shape</t>
  </si>
  <si>
    <t>LCN-1898 (9/2017): -28.821 was -28.500; change is +0.321 to correct for mirror as-built shape; applies with cold mass cold</t>
  </si>
  <si>
    <t>LCN-1898 (9/2017): -835.166 was -835.487; changed by .321 to correct for mirror as-built shapes; applies with cold mass cold and temp gradient along grid flexures.
LCN-1719 (11/2016): -835.487 was -835.463; update reflects as-built values for ITL Znom and baseplate and applies when cold</t>
  </si>
  <si>
    <t>LCN-1898 (9/2017): -617.794 was -618.115; cryo plate moves with the grid as part of 0.321 increase in L3-FP gap; applies when cold
LCN-1767 (3/2017): -618.115 was -618.100, which had never been confirmed; new value applies when cold</t>
  </si>
  <si>
    <t>LCN-1898 (9/2017): -877.952 was -878.273; changed by .321 to correct for mirror as-built shapes; applies with cold mass cold and temp gradient along grid flexures.</t>
  </si>
  <si>
    <t>LCN-1898 (9/2017): 74.877 was 74.556; increased by 0.321 to correct for mirror as-built shapes
LCN-1767 (3/2017): new row; new value applies when cold</t>
  </si>
  <si>
    <t>LCN-1898 (9/2017): 32.091 was 31.770; increased by 0.321 to correct for mirror as-built shapes; applies with cold mass cold and temp gradient along grid flexures.
LCN-1767 (3/2017): new row; new value applies when cold</t>
  </si>
  <si>
    <t>LCN-1898 (9/2017): 32.091 was 31.770; 0.321 change to correct for mirror as-built shapes
LCN-1767 (3/2017): new row; new value based on rev'd interface dims</t>
  </si>
  <si>
    <t>LCN-1898 (9/2017): ECM HB CeSiC CTE was 1.00E-6 per earlier communication; new value from temp curve</t>
  </si>
  <si>
    <t>&gt;Changes captured in LCN-1898;</t>
  </si>
  <si>
    <t>L2 lens second surface</t>
  </si>
  <si>
    <t>LCN-1898 (9/2017): 346.951 was 346.58; change is +0.371 to correct for mirror as-built shape</t>
  </si>
  <si>
    <t>LCN-1898 (9/2017): 871.823 was 871.452; reflects +0.371 to correct for mirror as-built shape
LCN-1719 (11/2016): 871.452 was 874.452; reflects 3 mm filter move</t>
  </si>
  <si>
    <t>LCN-1898 (9/2017): 943.823 was 943.452; reflects +0.371 to correct for mirror as-built shape</t>
  </si>
  <si>
    <t>LCN-1898 (9/2017): 1032.644 was 1031.952; change is +0.321 on detector plane wrt cryostat and +0.371 on cryostat/back flange wrt L1-S1, to correct for mirror as-built shape; applies with cold mass cold</t>
  </si>
  <si>
    <t>LCN-1898 (9/2017): -1938.371 was -1938.000; reflects +0.371 to correct for mirror as-built shape</t>
  </si>
  <si>
    <t>LCA-51, "Cryostat Spec," C-CRYO-;
Cold height of shimmed grid and flexure stack-up to L3 side of cryostat front flange</t>
  </si>
  <si>
    <t>LCN-1898 (9/2017): -464.881 was -464.078 reflects +0.371 to correct for mirror as-built shape</t>
  </si>
  <si>
    <t>&gt;Final update with final L2S2-FS1 spacing, correcting errors from optical analysis; this now agrees with the final LCR-1036 values: L3S2-FP spacing = 28.821 (cold) and L2S2-FS1 spacing = 346.951</t>
  </si>
  <si>
    <t>C-CRYO-391: The Cryostat shall position the L3 flange interface features -910.043 mm from its mount flange interface, within +/- 50 microns piston (at 20 degC), and centered on the mount flange interface centerline to within 100 microns</t>
  </si>
  <si>
    <t>Measurement precision wrt Cryostat front flange L3 mount features</t>
  </si>
  <si>
    <t>LCN-1898 (9/2017): reference point was to "grid mount features," but now to L3 mount features, which reflects metrology plans</t>
  </si>
  <si>
    <t>Precision of the tie-in of the location of the K-C ball best-fit plane to the L3 interface mount features on the cryostat front flange</t>
  </si>
  <si>
    <t>K-C interface ball plane position off L3 flange interface features</t>
  </si>
  <si>
    <t>LCN-1898 (9/2017): Redefined to L3 flange interface features</t>
  </si>
  <si>
    <t>LCN-1898 (9/2017): Redefined requirement to K-C ball plane off of L3 mount features; this was from the cryostat back flange interface, but now reflects metrology plans and alignment plans during I&amp;T.
LCN-1719</t>
  </si>
  <si>
    <t xml:space="preserve">(LCN-1719) - C-CRYO-392: The best-fit plane defined by the centers of the 8.000 mm kinematic-coupling interface ball centers shall be positioned at 74.875 mm +/- 25 microns piston from the L3 interface plane, measured to a precision of +/- 10 microns; tip/tilt parallel within 50 microns total run-out; and centered on the L3 interface centerline to within 400 microns decenter.
Comment: Aapplies with the cryostat housing at 20 C and the grid at the working temperature range defined in C-CRYO-337, and includes effects of thermal loads and temperature changes </t>
  </si>
  <si>
    <t>K-C ball plane assembly position error with respect to back flange</t>
  </si>
  <si>
    <t>LCN-1652 (8/2016): Decenter was 430, is 447</t>
  </si>
  <si>
    <t>LCN-1652 (8/2016): Decenter was 730, is 815</t>
  </si>
  <si>
    <t>LCN-1652 (8/2016): unchanged</t>
  </si>
  <si>
    <t>K-C interface ball plane position tolerance off back flange</t>
  </si>
  <si>
    <t>&gt;Updated '3. Ass'y, Alignment Stack-ups' to match cryostat spec and precision of ball plane measurements</t>
  </si>
  <si>
    <t>LCN-1898 (9/2017): new measurment precision, that adds into best-fit optical axis knowledge</t>
  </si>
  <si>
    <t>Measurement precision on position of grid fiducial posts</t>
  </si>
  <si>
    <t>Precision of measurement of grid fiducial posts from K-C plane; these are used as tie-ins to L3 interface surface and add to overall measurement error</t>
  </si>
  <si>
    <t>LCN-1898</t>
  </si>
  <si>
    <t>(LCN-1898): C-CRYO-454, Grid fiducial post measurement precision: the Z-position of the fiducial posts on the grid shall be measured with respect to the best-fit plane defined by the center of the 8 mm kinematic-coupling ball centers to a precision of +/- 20 microns</t>
  </si>
  <si>
    <t>LCN-1898 (9/2017): -959.321 was -958.950; reflects +0.321 to correct for mirror as-built shape</t>
  </si>
  <si>
    <t>&gt;Checked prior to release</t>
  </si>
  <si>
    <t>Design Values</t>
  </si>
  <si>
    <t>Verif As-Built Values</t>
  </si>
  <si>
    <t>DRAFT 1</t>
  </si>
  <si>
    <t>LCA-10147-G</t>
  </si>
  <si>
    <t>Revision G</t>
  </si>
  <si>
    <t>&gt;MN: started Rev G to capture as-built, verified tolerances; added columns for as-built tol's next to design values to collect verified measurement and track requirements compliance</t>
  </si>
  <si>
    <t>5/29/2018: As-built from first 8 RTMs; mean is 42.785
Profile tolerance of sensors with respect to K-C ball grooves, incl sensor, raft plate fab tol's and measurement precision (See LCA-10066 for Sci Raft breakdown of this to its constituents)</t>
  </si>
  <si>
    <t>&gt;MN: added as-verified detector plane flatness for first 8 RTMs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</si>
</sst>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0.000"/>
    <numFmt numFmtId="165" formatCode="mmmm\ yyyy"/>
    <numFmt numFmtId="166" formatCode="_(&quot;$&quot;* #,##0_);_(&quot;$&quot;* \(#,##0\);_(&quot;$&quot;* &quot;-&quot;??_);_(@_)"/>
    <numFmt numFmtId="167" formatCode="0.0"/>
    <numFmt numFmtId="168" formatCode="0.0000"/>
  </numFmts>
  <fonts count="24" x14ac:knownFonts="1">
    <font>
      <sz val="11"/>
      <color theme="1"/>
      <name val="Calibri"/>
      <family val="2"/>
      <scheme val="minor"/>
    </font>
    <font>
      <b/>
      <sz val="11"/>
      <color theme="1"/>
      <name val="Calibri"/>
      <family val="2"/>
      <scheme val="minor"/>
    </font>
    <font>
      <b/>
      <u/>
      <sz val="14"/>
      <color theme="1"/>
      <name val="Calibri"/>
      <family val="2"/>
      <scheme val="minor"/>
    </font>
    <font>
      <sz val="10"/>
      <name val="Arial"/>
      <family val="2"/>
    </font>
    <font>
      <i/>
      <sz val="8"/>
      <name val="Arial"/>
      <family val="2"/>
    </font>
    <font>
      <b/>
      <sz val="12"/>
      <name val="Arial"/>
      <family val="2"/>
    </font>
    <font>
      <b/>
      <sz val="10"/>
      <name val="Arial"/>
      <family val="2"/>
    </font>
    <font>
      <b/>
      <u/>
      <sz val="10"/>
      <name val="Arial"/>
      <family val="2"/>
    </font>
    <font>
      <b/>
      <u/>
      <sz val="9"/>
      <name val="Arial"/>
      <family val="2"/>
    </font>
    <font>
      <sz val="10"/>
      <name val="Arial"/>
      <family val="2"/>
    </font>
    <font>
      <sz val="8"/>
      <name val="Arial"/>
      <family val="2"/>
    </font>
    <font>
      <sz val="11"/>
      <color rgb="FFFF0000"/>
      <name val="Calibri"/>
      <family val="2"/>
      <scheme val="minor"/>
    </font>
    <font>
      <sz val="9"/>
      <color indexed="81"/>
      <name val="Tahoma"/>
      <family val="2"/>
    </font>
    <font>
      <b/>
      <sz val="9"/>
      <color indexed="81"/>
      <name val="Tahoma"/>
      <family val="2"/>
    </font>
    <font>
      <b/>
      <sz val="11"/>
      <color rgb="FFFF0000"/>
      <name val="Calibri"/>
      <family val="2"/>
      <scheme val="minor"/>
    </font>
    <font>
      <sz val="11"/>
      <name val="Calibri"/>
      <family val="2"/>
      <scheme val="minor"/>
    </font>
    <font>
      <strike/>
      <sz val="11"/>
      <color theme="1"/>
      <name val="Calibri"/>
      <family val="2"/>
      <scheme val="minor"/>
    </font>
    <font>
      <sz val="14"/>
      <color theme="1"/>
      <name val="Calibri"/>
      <family val="2"/>
      <scheme val="minor"/>
    </font>
    <font>
      <sz val="14"/>
      <name val="Arial"/>
      <family val="2"/>
    </font>
    <font>
      <sz val="11"/>
      <color theme="6" tint="-0.249977111117893"/>
      <name val="Calibri"/>
      <family val="2"/>
      <scheme val="minor"/>
    </font>
    <font>
      <strike/>
      <sz val="11"/>
      <color rgb="FFFF0000"/>
      <name val="Calibri"/>
      <family val="2"/>
      <scheme val="minor"/>
    </font>
    <font>
      <i/>
      <sz val="11"/>
      <color theme="1"/>
      <name val="Calibri"/>
      <family val="2"/>
      <scheme val="minor"/>
    </font>
    <font>
      <b/>
      <u/>
      <sz val="11"/>
      <color theme="1"/>
      <name val="Calibri"/>
      <family val="2"/>
      <scheme val="minor"/>
    </font>
    <font>
      <b/>
      <sz val="11"/>
      <name val="Calibri"/>
      <family val="2"/>
      <scheme val="minor"/>
    </font>
  </fonts>
  <fills count="20">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indexed="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00B05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6" tint="-0.249977111117893"/>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3" fillId="0" borderId="0"/>
    <xf numFmtId="44" fontId="9" fillId="0" borderId="0" applyFont="0" applyFill="0" applyBorder="0" applyAlignment="0" applyProtection="0"/>
  </cellStyleXfs>
  <cellXfs count="378">
    <xf numFmtId="0" fontId="0" fillId="0" borderId="0" xfId="0"/>
    <xf numFmtId="0" fontId="0" fillId="0" borderId="5" xfId="0" applyBorder="1" applyAlignment="1">
      <alignment vertical="center" wrapText="1"/>
    </xf>
    <xf numFmtId="1" fontId="0" fillId="0" borderId="5" xfId="0" applyNumberFormat="1" applyBorder="1" applyAlignment="1">
      <alignment horizontal="center" vertical="center"/>
    </xf>
    <xf numFmtId="164" fontId="0" fillId="0" borderId="5" xfId="0" applyNumberFormat="1" applyBorder="1" applyAlignment="1">
      <alignment horizontal="center" vertical="center"/>
    </xf>
    <xf numFmtId="0" fontId="0" fillId="0" borderId="0" xfId="0" applyAlignment="1">
      <alignment vertical="center" wrapText="1"/>
    </xf>
    <xf numFmtId="1"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Font="1"/>
    <xf numFmtId="0" fontId="0" fillId="0" borderId="0" xfId="0" applyAlignment="1">
      <alignment horizontal="center" vertical="center"/>
    </xf>
    <xf numFmtId="0" fontId="0" fillId="0" borderId="5" xfId="0" applyBorder="1" applyAlignment="1">
      <alignment horizontal="center" vertical="center"/>
    </xf>
    <xf numFmtId="0" fontId="0" fillId="0" borderId="14" xfId="0" applyBorder="1" applyAlignment="1">
      <alignment vertical="center" wrapText="1"/>
    </xf>
    <xf numFmtId="0" fontId="1" fillId="5" borderId="2" xfId="0" applyFont="1" applyFill="1" applyBorder="1"/>
    <xf numFmtId="0" fontId="0" fillId="5" borderId="3" xfId="0" applyFill="1" applyBorder="1"/>
    <xf numFmtId="0" fontId="0" fillId="5" borderId="3" xfId="0" applyFill="1" applyBorder="1" applyAlignment="1">
      <alignment horizontal="center" vertical="center" wrapText="1"/>
    </xf>
    <xf numFmtId="0" fontId="0" fillId="5" borderId="4" xfId="0" applyFill="1" applyBorder="1"/>
    <xf numFmtId="0" fontId="0" fillId="5" borderId="8" xfId="0" applyFill="1" applyBorder="1" applyAlignment="1">
      <alignment vertical="center" wrapText="1"/>
    </xf>
    <xf numFmtId="0" fontId="1" fillId="3" borderId="2" xfId="0" applyFont="1" applyFill="1" applyBorder="1"/>
    <xf numFmtId="0" fontId="0" fillId="3" borderId="3" xfId="0" applyFill="1" applyBorder="1"/>
    <xf numFmtId="0" fontId="0" fillId="3" borderId="3" xfId="0" applyFill="1" applyBorder="1" applyAlignment="1">
      <alignment horizontal="center" vertical="center" wrapText="1"/>
    </xf>
    <xf numFmtId="0" fontId="0" fillId="3" borderId="4" xfId="0" applyFill="1" applyBorder="1"/>
    <xf numFmtId="0" fontId="1" fillId="4" borderId="2" xfId="0" applyFont="1" applyFill="1" applyBorder="1"/>
    <xf numFmtId="0" fontId="0" fillId="4" borderId="3" xfId="0" applyFill="1" applyBorder="1"/>
    <xf numFmtId="0" fontId="0" fillId="4" borderId="3" xfId="0" applyFill="1" applyBorder="1" applyAlignment="1">
      <alignment horizontal="center" vertical="center" wrapText="1"/>
    </xf>
    <xf numFmtId="0" fontId="0" fillId="4" borderId="4" xfId="0" applyFill="1" applyBorder="1"/>
    <xf numFmtId="0" fontId="0" fillId="6" borderId="3" xfId="0" applyFill="1" applyBorder="1"/>
    <xf numFmtId="0" fontId="0" fillId="6" borderId="3" xfId="0" applyFill="1" applyBorder="1" applyAlignment="1">
      <alignment horizontal="center" vertical="center" wrapText="1"/>
    </xf>
    <xf numFmtId="0" fontId="0" fillId="6" borderId="4" xfId="0" applyFill="1" applyBorder="1"/>
    <xf numFmtId="0" fontId="0" fillId="7" borderId="3" xfId="0" applyFill="1" applyBorder="1"/>
    <xf numFmtId="0" fontId="0" fillId="7" borderId="3" xfId="0" applyFill="1" applyBorder="1" applyAlignment="1">
      <alignment horizontal="center" vertical="center" wrapText="1"/>
    </xf>
    <xf numFmtId="0" fontId="0" fillId="7" borderId="4" xfId="0" applyFill="1" applyBorder="1"/>
    <xf numFmtId="0" fontId="0" fillId="8" borderId="3" xfId="0" applyFill="1" applyBorder="1"/>
    <xf numFmtId="0" fontId="0" fillId="8" borderId="3" xfId="0" applyFill="1" applyBorder="1" applyAlignment="1">
      <alignment horizontal="center" vertical="center" wrapText="1"/>
    </xf>
    <xf numFmtId="0" fontId="0" fillId="8" borderId="4" xfId="0" applyFill="1" applyBorder="1"/>
    <xf numFmtId="0" fontId="0" fillId="9" borderId="3" xfId="0" applyFill="1" applyBorder="1"/>
    <xf numFmtId="0" fontId="0" fillId="9" borderId="3" xfId="0" applyFill="1" applyBorder="1" applyAlignment="1">
      <alignment horizontal="center" vertical="center" wrapText="1"/>
    </xf>
    <xf numFmtId="0" fontId="0" fillId="9" borderId="4" xfId="0" applyFill="1" applyBorder="1"/>
    <xf numFmtId="0" fontId="1" fillId="6" borderId="2" xfId="0" applyFont="1" applyFill="1" applyBorder="1" applyAlignment="1">
      <alignment wrapText="1"/>
    </xf>
    <xf numFmtId="0" fontId="0" fillId="6" borderId="3" xfId="0" applyFill="1" applyBorder="1" applyAlignment="1">
      <alignment wrapText="1"/>
    </xf>
    <xf numFmtId="0" fontId="1" fillId="7" borderId="2" xfId="0" applyFont="1" applyFill="1" applyBorder="1" applyAlignment="1">
      <alignment wrapText="1"/>
    </xf>
    <xf numFmtId="0" fontId="0" fillId="7" borderId="3" xfId="0" applyFill="1" applyBorder="1" applyAlignment="1">
      <alignment wrapText="1"/>
    </xf>
    <xf numFmtId="0" fontId="1" fillId="8" borderId="2" xfId="0" applyFont="1" applyFill="1" applyBorder="1" applyAlignment="1">
      <alignment wrapText="1"/>
    </xf>
    <xf numFmtId="0" fontId="0" fillId="8" borderId="3" xfId="0" applyFill="1" applyBorder="1" applyAlignment="1">
      <alignment wrapText="1"/>
    </xf>
    <xf numFmtId="0" fontId="1" fillId="9" borderId="2" xfId="0" applyFont="1" applyFill="1" applyBorder="1" applyAlignment="1">
      <alignment wrapText="1"/>
    </xf>
    <xf numFmtId="0" fontId="0" fillId="9" borderId="3" xfId="0" applyFill="1" applyBorder="1" applyAlignment="1">
      <alignment wrapText="1"/>
    </xf>
    <xf numFmtId="0" fontId="3" fillId="0" borderId="6" xfId="1" applyBorder="1"/>
    <xf numFmtId="0" fontId="3" fillId="0" borderId="8" xfId="1" applyBorder="1"/>
    <xf numFmtId="0" fontId="4" fillId="0" borderId="6" xfId="1" applyFont="1" applyBorder="1"/>
    <xf numFmtId="0" fontId="3" fillId="0" borderId="0" xfId="1"/>
    <xf numFmtId="0" fontId="3" fillId="0" borderId="9" xfId="1" applyBorder="1"/>
    <xf numFmtId="0" fontId="3" fillId="0" borderId="10" xfId="1" applyBorder="1"/>
    <xf numFmtId="0" fontId="5" fillId="0" borderId="11" xfId="1" applyFont="1" applyBorder="1" applyAlignment="1">
      <alignment horizontal="left" indent="1"/>
    </xf>
    <xf numFmtId="0" fontId="4" fillId="0" borderId="9" xfId="1" applyFont="1" applyBorder="1"/>
    <xf numFmtId="0" fontId="3" fillId="0" borderId="9" xfId="1" applyBorder="1" applyAlignment="1">
      <alignment horizontal="left" indent="1"/>
    </xf>
    <xf numFmtId="0" fontId="3" fillId="0" borderId="11" xfId="1" applyBorder="1" applyAlignment="1">
      <alignment horizontal="left" indent="1"/>
    </xf>
    <xf numFmtId="0" fontId="3" fillId="0" borderId="13" xfId="1" applyBorder="1"/>
    <xf numFmtId="0" fontId="3" fillId="0" borderId="0" xfId="1" applyBorder="1"/>
    <xf numFmtId="0" fontId="3" fillId="0" borderId="12" xfId="1" applyBorder="1"/>
    <xf numFmtId="0" fontId="5" fillId="0" borderId="12" xfId="1" applyFont="1" applyBorder="1" applyAlignment="1">
      <alignment horizontal="right"/>
    </xf>
    <xf numFmtId="165" fontId="5" fillId="0" borderId="13" xfId="1" applyNumberFormat="1" applyFont="1" applyBorder="1" applyAlignment="1">
      <alignment horizontal="left"/>
    </xf>
    <xf numFmtId="0" fontId="7" fillId="0" borderId="0" xfId="1" applyFont="1" applyAlignment="1">
      <alignment horizontal="left" vertical="top"/>
    </xf>
    <xf numFmtId="0" fontId="3" fillId="0" borderId="0" xfId="1" applyAlignment="1">
      <alignment horizontal="left" vertical="top"/>
    </xf>
    <xf numFmtId="0" fontId="3" fillId="0" borderId="0" xfId="1" applyAlignment="1">
      <alignment horizontal="left" vertical="top" wrapText="1"/>
    </xf>
    <xf numFmtId="0" fontId="8" fillId="0" borderId="0" xfId="1" applyFont="1" applyFill="1" applyBorder="1" applyAlignment="1">
      <alignment horizontal="left" vertical="top"/>
    </xf>
    <xf numFmtId="0" fontId="3" fillId="0" borderId="0" xfId="1" applyFill="1" applyBorder="1" applyAlignment="1">
      <alignment vertical="top" wrapText="1"/>
    </xf>
    <xf numFmtId="0" fontId="3" fillId="0" borderId="0" xfId="1" applyFill="1" applyBorder="1" applyAlignment="1">
      <alignment horizontal="center" vertical="top"/>
    </xf>
    <xf numFmtId="166" fontId="9" fillId="0" borderId="0" xfId="2" applyNumberFormat="1" applyBorder="1"/>
    <xf numFmtId="0" fontId="10" fillId="0" borderId="0" xfId="1" applyFont="1" applyBorder="1" applyAlignment="1">
      <alignment vertical="top"/>
    </xf>
    <xf numFmtId="8" fontId="10" fillId="0" borderId="0" xfId="1" applyNumberFormat="1" applyFont="1"/>
    <xf numFmtId="0" fontId="10" fillId="0" borderId="0" xfId="1" applyFont="1" applyBorder="1"/>
    <xf numFmtId="0" fontId="3" fillId="0" borderId="0" xfId="1" applyAlignment="1"/>
    <xf numFmtId="0" fontId="9" fillId="0" borderId="0" xfId="1" applyFont="1"/>
    <xf numFmtId="15" fontId="3" fillId="0" borderId="0" xfId="1" applyNumberFormat="1" applyFill="1" applyBorder="1" applyAlignment="1">
      <alignment horizontal="center" vertical="top"/>
    </xf>
    <xf numFmtId="15" fontId="3" fillId="10" borderId="2" xfId="1" applyNumberFormat="1" applyFill="1" applyBorder="1" applyAlignment="1">
      <alignment horizontal="center" vertical="top"/>
    </xf>
    <xf numFmtId="15" fontId="3" fillId="0" borderId="2" xfId="1" applyNumberFormat="1" applyFill="1" applyBorder="1" applyAlignment="1">
      <alignment horizontal="center" vertical="top"/>
    </xf>
    <xf numFmtId="8" fontId="10" fillId="0" borderId="0" xfId="1" applyNumberFormat="1" applyFont="1" applyBorder="1"/>
    <xf numFmtId="6" fontId="6" fillId="0" borderId="0" xfId="1" applyNumberFormat="1" applyFont="1" applyAlignment="1"/>
    <xf numFmtId="6" fontId="3" fillId="0" borderId="0" xfId="1" applyNumberFormat="1"/>
    <xf numFmtId="6" fontId="3" fillId="0" borderId="0" xfId="1" applyNumberFormat="1" applyBorder="1"/>
    <xf numFmtId="0" fontId="3" fillId="0" borderId="0" xfId="1" applyAlignment="1">
      <alignment horizontal="left"/>
    </xf>
    <xf numFmtId="0" fontId="3" fillId="0" borderId="0" xfId="1" applyAlignment="1">
      <alignment horizontal="center"/>
    </xf>
    <xf numFmtId="0" fontId="2" fillId="11" borderId="6" xfId="0" applyFont="1" applyFill="1" applyBorder="1"/>
    <xf numFmtId="0" fontId="0" fillId="11" borderId="7" xfId="0" applyFill="1" applyBorder="1"/>
    <xf numFmtId="0" fontId="1" fillId="11" borderId="7" xfId="0" applyFont="1" applyFill="1" applyBorder="1" applyAlignment="1">
      <alignment horizontal="center"/>
    </xf>
    <xf numFmtId="0" fontId="1" fillId="11" borderId="7" xfId="0" applyFont="1" applyFill="1" applyBorder="1"/>
    <xf numFmtId="0" fontId="1" fillId="11" borderId="7" xfId="0" applyFont="1" applyFill="1" applyBorder="1" applyAlignment="1">
      <alignment horizontal="right" vertical="center"/>
    </xf>
    <xf numFmtId="15" fontId="0" fillId="11" borderId="8" xfId="0" applyNumberFormat="1" applyFill="1" applyBorder="1" applyAlignment="1">
      <alignment horizontal="left" vertical="center"/>
    </xf>
    <xf numFmtId="0" fontId="0" fillId="11" borderId="11" xfId="0" applyFont="1" applyFill="1" applyBorder="1"/>
    <xf numFmtId="0" fontId="0" fillId="11" borderId="12" xfId="0" applyFill="1" applyBorder="1"/>
    <xf numFmtId="0" fontId="1" fillId="11" borderId="12" xfId="0" applyFont="1" applyFill="1" applyBorder="1" applyAlignment="1">
      <alignment horizontal="right" vertical="center"/>
    </xf>
    <xf numFmtId="15" fontId="0" fillId="11" borderId="13" xfId="0" applyNumberFormat="1" applyFill="1" applyBorder="1" applyAlignment="1">
      <alignment horizontal="left" vertical="center"/>
    </xf>
    <xf numFmtId="0" fontId="1" fillId="2" borderId="5"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1" fillId="5" borderId="2" xfId="0" applyFont="1" applyFill="1"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wrapText="1"/>
    </xf>
    <xf numFmtId="1" fontId="0" fillId="0" borderId="12" xfId="0" applyNumberFormat="1" applyBorder="1" applyAlignment="1">
      <alignment horizontal="center" vertical="center"/>
    </xf>
    <xf numFmtId="164" fontId="0" fillId="0" borderId="12" xfId="0" applyNumberFormat="1" applyBorder="1" applyAlignment="1">
      <alignment horizontal="center" vertical="center"/>
    </xf>
    <xf numFmtId="0" fontId="0" fillId="0" borderId="12" xfId="0" applyBorder="1" applyAlignment="1">
      <alignment horizontal="center" vertical="center"/>
    </xf>
    <xf numFmtId="1" fontId="0" fillId="0" borderId="7" xfId="0" applyNumberFormat="1" applyBorder="1" applyAlignment="1">
      <alignment horizontal="center" vertical="center"/>
    </xf>
    <xf numFmtId="164" fontId="0" fillId="0" borderId="7" xfId="0" applyNumberFormat="1" applyBorder="1" applyAlignment="1">
      <alignment horizontal="center" vertical="center"/>
    </xf>
    <xf numFmtId="0" fontId="0" fillId="0" borderId="7" xfId="0" applyBorder="1" applyAlignment="1">
      <alignment horizontal="center" vertical="center"/>
    </xf>
    <xf numFmtId="1" fontId="0" fillId="0" borderId="0" xfId="0" applyNumberFormat="1" applyBorder="1" applyAlignment="1">
      <alignment horizontal="center" vertical="center"/>
    </xf>
    <xf numFmtId="164" fontId="0" fillId="0" borderId="0" xfId="0" applyNumberFormat="1" applyBorder="1" applyAlignment="1">
      <alignment horizontal="center" vertical="center"/>
    </xf>
    <xf numFmtId="0" fontId="0" fillId="0" borderId="0" xfId="0" applyBorder="1"/>
    <xf numFmtId="0" fontId="1" fillId="5" borderId="6" xfId="0" applyFont="1" applyFill="1" applyBorder="1" applyAlignment="1">
      <alignment vertical="center"/>
    </xf>
    <xf numFmtId="0" fontId="0" fillId="5" borderId="7" xfId="0" applyFill="1" applyBorder="1" applyAlignment="1">
      <alignment vertical="center"/>
    </xf>
    <xf numFmtId="0" fontId="0" fillId="5" borderId="7" xfId="0" applyFill="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13" xfId="0" applyBorder="1" applyAlignment="1">
      <alignment vertical="center"/>
    </xf>
    <xf numFmtId="0" fontId="1" fillId="2"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12" borderId="6" xfId="0" applyFill="1" applyBorder="1" applyAlignment="1">
      <alignment vertical="center" wrapText="1"/>
    </xf>
    <xf numFmtId="1" fontId="0" fillId="12" borderId="7" xfId="0" applyNumberFormat="1" applyFill="1" applyBorder="1" applyAlignment="1">
      <alignment horizontal="center" vertical="center"/>
    </xf>
    <xf numFmtId="1" fontId="1" fillId="12" borderId="7" xfId="0" applyNumberFormat="1" applyFont="1" applyFill="1" applyBorder="1" applyAlignment="1">
      <alignment horizontal="center" vertical="center"/>
    </xf>
    <xf numFmtId="164" fontId="1" fillId="12" borderId="7" xfId="0" applyNumberFormat="1" applyFont="1" applyFill="1" applyBorder="1" applyAlignment="1">
      <alignment horizontal="center" vertical="center"/>
    </xf>
    <xf numFmtId="1" fontId="1" fillId="12" borderId="8" xfId="0" applyNumberFormat="1" applyFont="1" applyFill="1" applyBorder="1" applyAlignment="1">
      <alignment horizontal="center" vertical="center"/>
    </xf>
    <xf numFmtId="0" fontId="0" fillId="12" borderId="11" xfId="0" applyFill="1" applyBorder="1" applyAlignment="1">
      <alignment vertical="center" wrapText="1"/>
    </xf>
    <xf numFmtId="1" fontId="0" fillId="12" borderId="12" xfId="0" applyNumberFormat="1" applyFill="1" applyBorder="1" applyAlignment="1">
      <alignment horizontal="center" vertical="center"/>
    </xf>
    <xf numFmtId="1" fontId="1" fillId="12" borderId="12" xfId="0" applyNumberFormat="1" applyFont="1" applyFill="1" applyBorder="1" applyAlignment="1">
      <alignment horizontal="center" vertical="center"/>
    </xf>
    <xf numFmtId="164" fontId="1" fillId="12" borderId="12" xfId="0" applyNumberFormat="1" applyFont="1" applyFill="1" applyBorder="1" applyAlignment="1">
      <alignment horizontal="center" vertical="center"/>
    </xf>
    <xf numFmtId="1" fontId="1" fillId="12" borderId="13" xfId="0" applyNumberFormat="1" applyFont="1" applyFill="1" applyBorder="1" applyAlignment="1">
      <alignment horizontal="center" vertical="center"/>
    </xf>
    <xf numFmtId="0" fontId="0" fillId="12" borderId="9" xfId="0" applyFill="1" applyBorder="1" applyAlignment="1">
      <alignment vertical="center" wrapText="1"/>
    </xf>
    <xf numFmtId="1" fontId="0" fillId="12" borderId="0" xfId="0" applyNumberFormat="1" applyFill="1" applyBorder="1" applyAlignment="1">
      <alignment horizontal="center" vertical="center"/>
    </xf>
    <xf numFmtId="1" fontId="1" fillId="12" borderId="0" xfId="0" applyNumberFormat="1" applyFont="1" applyFill="1" applyBorder="1" applyAlignment="1">
      <alignment horizontal="center" vertical="center"/>
    </xf>
    <xf numFmtId="164" fontId="1" fillId="12" borderId="0" xfId="0" applyNumberFormat="1" applyFont="1" applyFill="1" applyBorder="1" applyAlignment="1">
      <alignment horizontal="center" vertical="center"/>
    </xf>
    <xf numFmtId="1" fontId="1" fillId="12" borderId="10" xfId="0" applyNumberFormat="1" applyFont="1" applyFill="1" applyBorder="1" applyAlignment="1">
      <alignment horizontal="center" vertical="center"/>
    </xf>
    <xf numFmtId="0" fontId="0" fillId="12" borderId="6" xfId="0" applyFont="1" applyFill="1" applyBorder="1" applyAlignment="1">
      <alignment vertical="center" wrapText="1"/>
    </xf>
    <xf numFmtId="0" fontId="0" fillId="12" borderId="11" xfId="0" applyFont="1" applyFill="1" applyBorder="1" applyAlignment="1">
      <alignment vertical="center" wrapText="1"/>
    </xf>
    <xf numFmtId="164" fontId="0" fillId="12" borderId="0" xfId="0" applyNumberFormat="1" applyFill="1" applyBorder="1" applyAlignment="1">
      <alignment horizontal="center" vertical="center"/>
    </xf>
    <xf numFmtId="1" fontId="0" fillId="12" borderId="10" xfId="0" applyNumberFormat="1" applyFill="1" applyBorder="1" applyAlignment="1">
      <alignment horizontal="center" vertical="center"/>
    </xf>
    <xf numFmtId="164" fontId="0" fillId="12" borderId="12" xfId="0" applyNumberFormat="1" applyFill="1" applyBorder="1" applyAlignment="1">
      <alignment horizontal="center" vertical="center"/>
    </xf>
    <xf numFmtId="1" fontId="0" fillId="12" borderId="13" xfId="0" applyNumberForma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9" fillId="0" borderId="0" xfId="1" applyFont="1" applyAlignment="1">
      <alignment horizontal="left" vertical="top" wrapText="1"/>
    </xf>
    <xf numFmtId="167" fontId="0" fillId="0" borderId="5" xfId="0" applyNumberFormat="1" applyBorder="1" applyAlignment="1">
      <alignment horizontal="center" vertical="center"/>
    </xf>
    <xf numFmtId="2" fontId="0" fillId="0" borderId="5" xfId="0" applyNumberFormat="1" applyBorder="1" applyAlignment="1">
      <alignment horizontal="center" vertical="center"/>
    </xf>
    <xf numFmtId="0" fontId="0" fillId="0" borderId="0" xfId="0" quotePrefix="1" applyBorder="1" applyAlignment="1">
      <alignment vertical="center" wrapText="1"/>
    </xf>
    <xf numFmtId="0" fontId="0" fillId="0" borderId="5" xfId="0" applyFill="1" applyBorder="1" applyAlignment="1">
      <alignment vertical="center" wrapText="1"/>
    </xf>
    <xf numFmtId="1" fontId="0" fillId="0" borderId="5" xfId="0" applyNumberFormat="1" applyFill="1" applyBorder="1" applyAlignment="1">
      <alignment horizontal="center" vertical="center"/>
    </xf>
    <xf numFmtId="164" fontId="0" fillId="0" borderId="5" xfId="0" applyNumberFormat="1" applyFill="1" applyBorder="1" applyAlignment="1">
      <alignment horizontal="center" vertical="center"/>
    </xf>
    <xf numFmtId="0" fontId="0" fillId="0" borderId="5" xfId="0" applyFill="1" applyBorder="1" applyAlignment="1">
      <alignment horizontal="center" vertical="center"/>
    </xf>
    <xf numFmtId="0" fontId="1" fillId="7" borderId="5" xfId="0" applyFont="1" applyFill="1" applyBorder="1" applyAlignment="1">
      <alignment horizontal="center" vertical="center" wrapText="1"/>
    </xf>
    <xf numFmtId="0" fontId="1" fillId="0" borderId="0" xfId="0" applyFont="1"/>
    <xf numFmtId="0" fontId="14" fillId="0" borderId="0" xfId="0" applyFont="1" applyBorder="1" applyAlignment="1">
      <alignment vertical="center" wrapText="1"/>
    </xf>
    <xf numFmtId="0" fontId="1" fillId="2" borderId="2" xfId="0" applyFont="1" applyFill="1" applyBorder="1" applyAlignment="1">
      <alignment horizontal="centerContinuous"/>
    </xf>
    <xf numFmtId="0" fontId="1" fillId="2" borderId="4" xfId="0" applyFont="1" applyFill="1" applyBorder="1" applyAlignment="1">
      <alignment horizontal="centerContinuous"/>
    </xf>
    <xf numFmtId="0" fontId="1" fillId="2" borderId="2" xfId="0" applyFont="1" applyFill="1" applyBorder="1"/>
    <xf numFmtId="0" fontId="1" fillId="2" borderId="3" xfId="0" applyFont="1" applyFill="1" applyBorder="1" applyAlignment="1">
      <alignment horizontal="center" vertical="center"/>
    </xf>
    <xf numFmtId="0" fontId="1" fillId="2" borderId="4" xfId="0" applyFont="1" applyFill="1" applyBorder="1"/>
    <xf numFmtId="0" fontId="1" fillId="2" borderId="5" xfId="0" applyFont="1" applyFill="1" applyBorder="1" applyAlignment="1">
      <alignment horizontal="center"/>
    </xf>
    <xf numFmtId="0" fontId="1" fillId="2" borderId="1" xfId="0" applyFont="1" applyFill="1" applyBorder="1" applyAlignment="1">
      <alignment horizontal="center"/>
    </xf>
    <xf numFmtId="0" fontId="0" fillId="0" borderId="5" xfId="0" applyBorder="1"/>
    <xf numFmtId="0" fontId="1" fillId="0" borderId="5" xfId="0" applyFont="1" applyBorder="1" applyAlignment="1">
      <alignment horizontal="center" vertical="center" wrapText="1"/>
    </xf>
    <xf numFmtId="0" fontId="0" fillId="11" borderId="12" xfId="0" applyFill="1" applyBorder="1" applyAlignment="1">
      <alignment horizontal="center" vertical="center"/>
    </xf>
    <xf numFmtId="15" fontId="0" fillId="0" borderId="0" xfId="0" applyNumberFormat="1" applyAlignment="1">
      <alignment horizontal="center" vertical="center"/>
    </xf>
    <xf numFmtId="0" fontId="1" fillId="0" borderId="0" xfId="0" applyFont="1" applyAlignment="1">
      <alignment horizontal="center" vertical="center"/>
    </xf>
    <xf numFmtId="1"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vertical="center" wrapText="1"/>
    </xf>
    <xf numFmtId="0" fontId="1" fillId="0" borderId="0" xfId="0" applyFont="1" applyFill="1" applyBorder="1" applyAlignment="1">
      <alignment horizontal="right" vertical="center" wrapText="1"/>
    </xf>
    <xf numFmtId="1" fontId="0" fillId="0" borderId="0" xfId="0" applyNumberFormat="1" applyFill="1" applyBorder="1" applyAlignment="1">
      <alignment horizontal="center" vertical="center"/>
    </xf>
    <xf numFmtId="164" fontId="0" fillId="0" borderId="0" xfId="0" applyNumberFormat="1" applyFill="1" applyBorder="1" applyAlignment="1">
      <alignment horizontal="center" vertical="center"/>
    </xf>
    <xf numFmtId="1" fontId="0" fillId="13" borderId="5" xfId="0" applyNumberFormat="1" applyFill="1" applyBorder="1" applyAlignment="1">
      <alignment horizontal="center" vertical="center"/>
    </xf>
    <xf numFmtId="15" fontId="11" fillId="0" borderId="0" xfId="0" applyNumberFormat="1" applyFont="1" applyBorder="1" applyAlignment="1">
      <alignment horizontal="center" vertical="center"/>
    </xf>
    <xf numFmtId="1" fontId="0" fillId="14" borderId="5" xfId="0" applyNumberFormat="1" applyFill="1" applyBorder="1" applyAlignment="1">
      <alignment horizontal="center" vertical="center"/>
    </xf>
    <xf numFmtId="15" fontId="0" fillId="14" borderId="0" xfId="0" applyNumberFormat="1" applyFill="1" applyAlignment="1">
      <alignment horizontal="center" vertical="center"/>
    </xf>
    <xf numFmtId="15" fontId="11" fillId="14" borderId="0" xfId="0" applyNumberFormat="1" applyFont="1" applyFill="1" applyBorder="1" applyAlignment="1">
      <alignment horizontal="center" vertical="center"/>
    </xf>
    <xf numFmtId="0" fontId="11" fillId="14" borderId="0" xfId="0" applyFont="1" applyFill="1" applyBorder="1" applyAlignment="1">
      <alignment vertical="center" wrapText="1"/>
    </xf>
    <xf numFmtId="164" fontId="0" fillId="13" borderId="5" xfId="0" applyNumberFormat="1" applyFill="1" applyBorder="1" applyAlignment="1">
      <alignment horizontal="center" vertical="center"/>
    </xf>
    <xf numFmtId="0" fontId="0" fillId="15" borderId="0" xfId="0" applyFill="1" applyAlignment="1">
      <alignment horizontal="center" vertical="center"/>
    </xf>
    <xf numFmtId="1" fontId="0" fillId="16" borderId="5" xfId="0" applyNumberFormat="1" applyFill="1" applyBorder="1" applyAlignment="1">
      <alignment horizontal="center" vertical="center"/>
    </xf>
    <xf numFmtId="0" fontId="0" fillId="0" borderId="0" xfId="0" applyAlignment="1">
      <alignment horizontal="center" vertical="center" wrapText="1"/>
    </xf>
    <xf numFmtId="15" fontId="0" fillId="16" borderId="0" xfId="0" applyNumberFormat="1" applyFill="1" applyAlignment="1">
      <alignment horizontal="center" vertical="center"/>
    </xf>
    <xf numFmtId="0" fontId="0" fillId="15" borderId="0" xfId="0" applyFill="1" applyBorder="1" applyAlignment="1">
      <alignment horizontal="center" vertical="center"/>
    </xf>
    <xf numFmtId="0" fontId="0" fillId="0" borderId="0" xfId="0" applyFill="1"/>
    <xf numFmtId="0" fontId="0" fillId="0" borderId="0" xfId="0" applyFill="1" applyAlignment="1">
      <alignment vertical="center" wrapText="1"/>
    </xf>
    <xf numFmtId="0" fontId="0" fillId="16" borderId="0" xfId="0" applyFill="1" applyAlignment="1">
      <alignment vertical="center" wrapText="1"/>
    </xf>
    <xf numFmtId="15" fontId="15" fillId="16" borderId="0" xfId="0" applyNumberFormat="1" applyFont="1" applyFill="1" applyBorder="1" applyAlignment="1">
      <alignment horizontal="center" vertical="center"/>
    </xf>
    <xf numFmtId="0" fontId="11" fillId="0" borderId="0" xfId="0" applyFont="1" applyFill="1" applyAlignment="1">
      <alignment vertical="center" wrapText="1"/>
    </xf>
    <xf numFmtId="1" fontId="0" fillId="17" borderId="5" xfId="0" applyNumberFormat="1" applyFill="1" applyBorder="1" applyAlignment="1">
      <alignment horizontal="center" vertical="center"/>
    </xf>
    <xf numFmtId="15" fontId="15"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 fontId="1" fillId="17" borderId="8" xfId="0" applyNumberFormat="1" applyFont="1" applyFill="1" applyBorder="1" applyAlignment="1">
      <alignment horizontal="center" vertical="center"/>
    </xf>
    <xf numFmtId="1" fontId="1" fillId="17" borderId="13" xfId="0" applyNumberFormat="1" applyFont="1" applyFill="1" applyBorder="1" applyAlignment="1">
      <alignment horizontal="center" vertical="center"/>
    </xf>
    <xf numFmtId="0" fontId="0" fillId="0" borderId="14" xfId="0" applyFill="1" applyBorder="1" applyAlignment="1">
      <alignment vertical="center" wrapText="1"/>
    </xf>
    <xf numFmtId="1" fontId="0" fillId="0" borderId="14"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0" fillId="0" borderId="14" xfId="0" applyFill="1" applyBorder="1" applyAlignment="1">
      <alignment horizontal="center" vertical="center"/>
    </xf>
    <xf numFmtId="15" fontId="0" fillId="0" borderId="0" xfId="0" applyNumberFormat="1" applyFill="1" applyAlignment="1">
      <alignment horizontal="center" vertical="center"/>
    </xf>
    <xf numFmtId="0" fontId="0" fillId="0" borderId="1" xfId="0" applyFill="1" applyBorder="1" applyAlignment="1">
      <alignment vertical="center" wrapText="1"/>
    </xf>
    <xf numFmtId="167" fontId="0" fillId="0" borderId="1" xfId="0" applyNumberFormat="1" applyFill="1" applyBorder="1" applyAlignment="1">
      <alignment horizontal="center" vertical="center"/>
    </xf>
    <xf numFmtId="15" fontId="0" fillId="0" borderId="0" xfId="0" applyNumberFormat="1" applyFill="1" applyAlignment="1">
      <alignment vertical="center" wrapText="1"/>
    </xf>
    <xf numFmtId="167" fontId="0" fillId="0" borderId="5" xfId="0" applyNumberFormat="1" applyFill="1" applyBorder="1" applyAlignment="1">
      <alignment horizontal="center" vertical="center"/>
    </xf>
    <xf numFmtId="0" fontId="3" fillId="0" borderId="0" xfId="1" applyAlignment="1">
      <alignment horizontal="left" vertical="top" wrapText="1"/>
    </xf>
    <xf numFmtId="0" fontId="3" fillId="0" borderId="0" xfId="1" applyFont="1" applyAlignment="1">
      <alignment horizontal="left" vertical="top" wrapText="1"/>
    </xf>
    <xf numFmtId="164" fontId="0" fillId="0" borderId="0" xfId="0" applyNumberFormat="1"/>
    <xf numFmtId="1" fontId="0" fillId="18" borderId="5" xfId="0" applyNumberFormat="1" applyFill="1" applyBorder="1" applyAlignment="1">
      <alignment horizontal="center" vertical="center"/>
    </xf>
    <xf numFmtId="164" fontId="11" fillId="18" borderId="1" xfId="0" applyNumberFormat="1" applyFont="1" applyFill="1" applyBorder="1" applyAlignment="1">
      <alignment horizontal="center" vertical="center"/>
    </xf>
    <xf numFmtId="1" fontId="11" fillId="18" borderId="1" xfId="0" applyNumberFormat="1" applyFont="1" applyFill="1" applyBorder="1" applyAlignment="1">
      <alignment horizontal="center" vertical="center"/>
    </xf>
    <xf numFmtId="1" fontId="11" fillId="18" borderId="5" xfId="0" applyNumberFormat="1" applyFont="1" applyFill="1" applyBorder="1" applyAlignment="1">
      <alignment horizontal="center" vertical="center"/>
    </xf>
    <xf numFmtId="164" fontId="11" fillId="18" borderId="5" xfId="0" applyNumberFormat="1" applyFont="1" applyFill="1" applyBorder="1" applyAlignment="1">
      <alignment horizontal="center" vertical="center"/>
    </xf>
    <xf numFmtId="0" fontId="11" fillId="18" borderId="5" xfId="0" applyFont="1" applyFill="1" applyBorder="1" applyAlignment="1">
      <alignment horizontal="center" vertical="center"/>
    </xf>
    <xf numFmtId="0" fontId="0" fillId="18" borderId="5" xfId="0" applyFill="1" applyBorder="1" applyAlignment="1">
      <alignment vertical="center" wrapText="1"/>
    </xf>
    <xf numFmtId="0" fontId="0" fillId="18" borderId="0" xfId="0" applyFill="1" applyAlignment="1">
      <alignment vertical="center" wrapText="1"/>
    </xf>
    <xf numFmtId="0" fontId="0" fillId="13" borderId="5" xfId="0" applyFill="1" applyBorder="1" applyAlignment="1">
      <alignment vertical="center" wrapText="1"/>
    </xf>
    <xf numFmtId="0" fontId="0" fillId="13" borderId="5" xfId="0" applyFill="1" applyBorder="1" applyAlignment="1">
      <alignment horizontal="center" vertical="center"/>
    </xf>
    <xf numFmtId="0" fontId="16" fillId="13" borderId="5" xfId="0" applyFont="1" applyFill="1" applyBorder="1" applyAlignment="1">
      <alignment vertical="center" wrapText="1"/>
    </xf>
    <xf numFmtId="1" fontId="16" fillId="13" borderId="5" xfId="0" applyNumberFormat="1" applyFont="1" applyFill="1" applyBorder="1" applyAlignment="1">
      <alignment horizontal="center" vertical="center"/>
    </xf>
    <xf numFmtId="164" fontId="16" fillId="13" borderId="5" xfId="0" applyNumberFormat="1" applyFont="1" applyFill="1" applyBorder="1" applyAlignment="1">
      <alignment horizontal="center" vertical="center"/>
    </xf>
    <xf numFmtId="0" fontId="16" fillId="13" borderId="5" xfId="0" applyFont="1" applyFill="1" applyBorder="1" applyAlignment="1">
      <alignment horizontal="center" vertical="center"/>
    </xf>
    <xf numFmtId="164" fontId="0" fillId="0" borderId="5" xfId="0" applyNumberFormat="1" applyFill="1" applyBorder="1"/>
    <xf numFmtId="0" fontId="1" fillId="5" borderId="4" xfId="0" applyFont="1" applyFill="1" applyBorder="1"/>
    <xf numFmtId="0" fontId="1" fillId="0" borderId="0" xfId="0" applyFont="1" applyAlignment="1">
      <alignment horizontal="center" vertical="center" wrapText="1"/>
    </xf>
    <xf numFmtId="0" fontId="1" fillId="5" borderId="5" xfId="0" applyFont="1" applyFill="1" applyBorder="1" applyAlignment="1">
      <alignment horizontal="center" vertical="center" wrapText="1"/>
    </xf>
    <xf numFmtId="164" fontId="0" fillId="0" borderId="5" xfId="0" applyNumberFormat="1" applyBorder="1" applyAlignment="1">
      <alignment horizontal="center" vertical="center" wrapText="1"/>
    </xf>
    <xf numFmtId="168" fontId="0" fillId="0" borderId="5" xfId="0" applyNumberFormat="1" applyBorder="1" applyAlignment="1">
      <alignment horizontal="center" vertical="center" wrapText="1"/>
    </xf>
    <xf numFmtId="0" fontId="0" fillId="0" borderId="0" xfId="0" applyAlignment="1">
      <alignment wrapText="1"/>
    </xf>
    <xf numFmtId="0" fontId="3" fillId="0" borderId="11" xfId="1" applyBorder="1" applyAlignment="1">
      <alignment horizontal="left" vertical="top" wrapText="1" indent="1"/>
    </xf>
    <xf numFmtId="0" fontId="0" fillId="13" borderId="0" xfId="0" applyFill="1" applyAlignment="1">
      <alignment vertical="center" wrapText="1"/>
    </xf>
    <xf numFmtId="0" fontId="0" fillId="13" borderId="0" xfId="0" applyFill="1" applyAlignment="1">
      <alignment vertical="top" wrapText="1"/>
    </xf>
    <xf numFmtId="0" fontId="0" fillId="13" borderId="0" xfId="0" applyFill="1" applyAlignment="1">
      <alignment wrapText="1"/>
    </xf>
    <xf numFmtId="0" fontId="0" fillId="13" borderId="0" xfId="0" applyFill="1" applyBorder="1" applyAlignment="1">
      <alignment vertical="center" wrapText="1"/>
    </xf>
    <xf numFmtId="0" fontId="0" fillId="9" borderId="5" xfId="0" applyFill="1" applyBorder="1" applyAlignment="1">
      <alignment vertical="center" wrapText="1"/>
    </xf>
    <xf numFmtId="1" fontId="0" fillId="9" borderId="5" xfId="0" applyNumberFormat="1" applyFill="1" applyBorder="1" applyAlignment="1">
      <alignment horizontal="center" vertical="center"/>
    </xf>
    <xf numFmtId="0" fontId="0" fillId="9" borderId="0" xfId="0" applyFill="1" applyAlignment="1">
      <alignment vertical="center" wrapText="1"/>
    </xf>
    <xf numFmtId="0" fontId="0" fillId="9" borderId="0" xfId="0" applyFill="1" applyAlignment="1">
      <alignment vertical="top" wrapText="1"/>
    </xf>
    <xf numFmtId="0" fontId="1" fillId="17"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9" borderId="0" xfId="0" applyFill="1" applyAlignment="1">
      <alignment wrapText="1"/>
    </xf>
    <xf numFmtId="0" fontId="0" fillId="0" borderId="0" xfId="0" applyFill="1" applyAlignment="1">
      <alignment vertical="center"/>
    </xf>
    <xf numFmtId="0" fontId="3" fillId="0" borderId="3" xfId="1" applyFont="1" applyBorder="1" applyAlignment="1">
      <alignment horizontal="left" vertical="top" wrapText="1"/>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21" fillId="0" borderId="5" xfId="0" applyFont="1" applyBorder="1" applyAlignment="1">
      <alignment horizontal="left" vertical="center" wrapText="1" indent="2"/>
    </xf>
    <xf numFmtId="168" fontId="21" fillId="0" borderId="5" xfId="0" applyNumberFormat="1" applyFont="1" applyBorder="1" applyAlignment="1">
      <alignment horizontal="right" vertical="center" wrapText="1"/>
    </xf>
    <xf numFmtId="164" fontId="1" fillId="0" borderId="5" xfId="0" applyNumberFormat="1" applyFont="1" applyBorder="1" applyAlignment="1">
      <alignment horizontal="center"/>
    </xf>
    <xf numFmtId="0" fontId="1" fillId="0" borderId="1" xfId="0" applyFont="1" applyBorder="1" applyAlignment="1">
      <alignment horizontal="left" vertical="center"/>
    </xf>
    <xf numFmtId="0" fontId="1" fillId="0" borderId="5" xfId="0" applyFont="1" applyBorder="1" applyAlignment="1">
      <alignment vertical="center" wrapText="1"/>
    </xf>
    <xf numFmtId="168" fontId="1" fillId="0" borderId="5" xfId="0" applyNumberFormat="1" applyFont="1" applyBorder="1" applyAlignment="1">
      <alignment horizontal="center" vertical="center" wrapText="1"/>
    </xf>
    <xf numFmtId="0" fontId="0" fillId="0" borderId="5" xfId="0" applyFont="1" applyBorder="1" applyAlignment="1">
      <alignment vertical="center" wrapText="1"/>
    </xf>
    <xf numFmtId="168" fontId="0" fillId="0" borderId="5" xfId="0" applyNumberFormat="1" applyFont="1" applyBorder="1" applyAlignment="1">
      <alignment horizontal="center" vertical="center" wrapText="1"/>
    </xf>
    <xf numFmtId="0" fontId="0" fillId="0" borderId="4" xfId="0" applyBorder="1"/>
    <xf numFmtId="0" fontId="0" fillId="0" borderId="1" xfId="0" applyFont="1" applyBorder="1" applyAlignment="1">
      <alignment vertical="center" wrapText="1"/>
    </xf>
    <xf numFmtId="168" fontId="0" fillId="0" borderId="1" xfId="0" applyNumberFormat="1" applyFont="1" applyBorder="1" applyAlignment="1">
      <alignment horizontal="center" vertical="center" wrapText="1"/>
    </xf>
    <xf numFmtId="0" fontId="0" fillId="0" borderId="14" xfId="0" applyFont="1" applyBorder="1" applyAlignment="1">
      <alignment vertical="center" wrapText="1"/>
    </xf>
    <xf numFmtId="168" fontId="0" fillId="0" borderId="14" xfId="0" applyNumberFormat="1" applyFont="1" applyBorder="1" applyAlignment="1">
      <alignment horizontal="center" vertical="center" wrapText="1"/>
    </xf>
    <xf numFmtId="0" fontId="0" fillId="8" borderId="17" xfId="0" applyFont="1" applyFill="1" applyBorder="1" applyAlignment="1">
      <alignment vertical="center" wrapText="1"/>
    </xf>
    <xf numFmtId="168" fontId="0" fillId="8" borderId="18" xfId="0" applyNumberFormat="1" applyFont="1" applyFill="1" applyBorder="1" applyAlignment="1">
      <alignment horizontal="center" vertical="center" wrapText="1"/>
    </xf>
    <xf numFmtId="168" fontId="0" fillId="8" borderId="19" xfId="0" applyNumberFormat="1" applyFont="1" applyFill="1" applyBorder="1" applyAlignment="1">
      <alignment horizontal="center" vertical="center" wrapText="1"/>
    </xf>
    <xf numFmtId="168" fontId="21" fillId="0" borderId="2" xfId="0" applyNumberFormat="1" applyFont="1" applyBorder="1" applyAlignment="1">
      <alignment horizontal="right" vertical="center" wrapText="1"/>
    </xf>
    <xf numFmtId="168" fontId="21" fillId="0" borderId="4" xfId="0" applyNumberFormat="1" applyFont="1" applyBorder="1" applyAlignment="1">
      <alignment horizontal="right" vertical="center" wrapText="1"/>
    </xf>
    <xf numFmtId="168" fontId="21" fillId="0" borderId="1" xfId="0" applyNumberFormat="1" applyFont="1" applyBorder="1" applyAlignment="1">
      <alignment horizontal="right" vertical="center" wrapText="1"/>
    </xf>
    <xf numFmtId="168" fontId="21" fillId="0" borderId="14" xfId="0" applyNumberFormat="1" applyFont="1" applyBorder="1" applyAlignment="1">
      <alignment horizontal="right" vertical="center" wrapText="1"/>
    </xf>
    <xf numFmtId="168" fontId="21" fillId="8" borderId="16" xfId="0" applyNumberFormat="1" applyFont="1" applyFill="1" applyBorder="1" applyAlignment="1">
      <alignment horizontal="right" vertical="center" wrapText="1"/>
    </xf>
    <xf numFmtId="0" fontId="1" fillId="7" borderId="5" xfId="0" applyFont="1" applyFill="1" applyBorder="1" applyAlignment="1">
      <alignment vertical="center" wrapText="1"/>
    </xf>
    <xf numFmtId="168" fontId="1" fillId="7" borderId="5" xfId="0" applyNumberFormat="1" applyFont="1" applyFill="1" applyBorder="1" applyAlignment="1">
      <alignment horizontal="center" vertical="center" wrapText="1"/>
    </xf>
    <xf numFmtId="168" fontId="21" fillId="0" borderId="5" xfId="0" applyNumberFormat="1" applyFont="1" applyFill="1" applyBorder="1" applyAlignment="1">
      <alignment horizontal="right" vertical="center" wrapText="1"/>
    </xf>
    <xf numFmtId="164" fontId="0" fillId="0" borderId="5" xfId="0" applyNumberForma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1" fontId="0" fillId="0" borderId="5" xfId="0" applyNumberFormat="1" applyBorder="1"/>
    <xf numFmtId="0" fontId="0" fillId="0" borderId="2" xfId="0" applyBorder="1"/>
    <xf numFmtId="0" fontId="0" fillId="0" borderId="3" xfId="0" applyBorder="1"/>
    <xf numFmtId="0" fontId="1" fillId="2" borderId="14" xfId="0" applyFont="1" applyFill="1" applyBorder="1" applyAlignment="1">
      <alignment horizontal="center"/>
    </xf>
    <xf numFmtId="164" fontId="0" fillId="0" borderId="0" xfId="0" applyNumberFormat="1" applyAlignment="1">
      <alignment horizontal="left" vertical="center" wrapText="1"/>
    </xf>
    <xf numFmtId="0" fontId="0" fillId="18" borderId="0" xfId="0" applyFill="1" applyAlignment="1">
      <alignment wrapText="1"/>
    </xf>
    <xf numFmtId="164" fontId="0" fillId="0" borderId="0" xfId="0" applyNumberFormat="1" applyBorder="1" applyAlignment="1">
      <alignment horizontal="center" vertical="center" wrapText="1"/>
    </xf>
    <xf numFmtId="164" fontId="0" fillId="15" borderId="0" xfId="0" applyNumberFormat="1" applyFill="1" applyBorder="1" applyAlignment="1">
      <alignment horizontal="center" vertical="center" wrapText="1"/>
    </xf>
    <xf numFmtId="0" fontId="15" fillId="0" borderId="0" xfId="0" applyFont="1" applyFill="1" applyAlignment="1">
      <alignment vertical="center" wrapText="1"/>
    </xf>
    <xf numFmtId="164" fontId="0" fillId="0" borderId="0" xfId="0" applyNumberFormat="1" applyAlignment="1">
      <alignment wrapText="1"/>
    </xf>
    <xf numFmtId="164" fontId="0" fillId="14" borderId="0" xfId="0" applyNumberFormat="1" applyFill="1" applyAlignment="1">
      <alignment wrapText="1"/>
    </xf>
    <xf numFmtId="0" fontId="0" fillId="14" borderId="0" xfId="0" applyFill="1" applyAlignment="1">
      <alignment vertical="center" wrapText="1"/>
    </xf>
    <xf numFmtId="0" fontId="1" fillId="18" borderId="5" xfId="0" applyFont="1" applyFill="1" applyBorder="1" applyAlignment="1">
      <alignment horizontal="center" vertical="center" wrapText="1"/>
    </xf>
    <xf numFmtId="164" fontId="0" fillId="0" borderId="2" xfId="0" applyNumberFormat="1" applyFont="1" applyBorder="1" applyAlignment="1">
      <alignment horizontal="center" vertical="center" wrapText="1"/>
    </xf>
    <xf numFmtId="168" fontId="0" fillId="0" borderId="3" xfId="0" applyNumberFormat="1" applyFont="1" applyBorder="1" applyAlignment="1">
      <alignment horizontal="center" vertical="center" wrapText="1"/>
    </xf>
    <xf numFmtId="168" fontId="0" fillId="0" borderId="4" xfId="0" applyNumberFormat="1" applyFont="1" applyBorder="1" applyAlignment="1">
      <alignment horizontal="center" vertical="center" wrapText="1"/>
    </xf>
    <xf numFmtId="168" fontId="0"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8" fontId="1" fillId="0" borderId="3" xfId="0" applyNumberFormat="1" applyFont="1" applyBorder="1" applyAlignment="1">
      <alignment horizontal="center" vertical="center" wrapText="1"/>
    </xf>
    <xf numFmtId="168" fontId="1" fillId="0" borderId="4" xfId="0" applyNumberFormat="1" applyFont="1" applyBorder="1" applyAlignment="1">
      <alignment horizontal="center" vertical="center" wrapText="1"/>
    </xf>
    <xf numFmtId="168" fontId="0" fillId="0" borderId="0" xfId="0" applyNumberFormat="1"/>
    <xf numFmtId="164" fontId="15" fillId="0" borderId="5"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15" fontId="0" fillId="11" borderId="8" xfId="0" applyNumberFormat="1" applyFill="1" applyBorder="1" applyAlignment="1">
      <alignment horizontal="left" vertical="center" wrapText="1"/>
    </xf>
    <xf numFmtId="15" fontId="0" fillId="11" borderId="13" xfId="0" applyNumberFormat="1" applyFill="1" applyBorder="1" applyAlignment="1">
      <alignment horizontal="left" vertical="center" wrapText="1"/>
    </xf>
    <xf numFmtId="0" fontId="0" fillId="0" borderId="0" xfId="0" applyBorder="1" applyAlignment="1">
      <alignment wrapText="1"/>
    </xf>
    <xf numFmtId="0" fontId="0" fillId="0" borderId="5" xfId="0" applyBorder="1" applyAlignment="1">
      <alignment wrapText="1"/>
    </xf>
    <xf numFmtId="0" fontId="0" fillId="0" borderId="4" xfId="0" applyBorder="1" applyAlignment="1">
      <alignment wrapText="1"/>
    </xf>
    <xf numFmtId="0" fontId="0" fillId="0" borderId="5" xfId="0" applyBorder="1" applyAlignment="1">
      <alignment horizontal="left" vertical="center" wrapText="1"/>
    </xf>
    <xf numFmtId="164" fontId="1" fillId="7" borderId="5" xfId="0" applyNumberFormat="1" applyFont="1" applyFill="1" applyBorder="1" applyAlignment="1">
      <alignment horizontal="center" vertical="center" wrapText="1"/>
    </xf>
    <xf numFmtId="0" fontId="0" fillId="15" borderId="0" xfId="0" applyFill="1"/>
    <xf numFmtId="164" fontId="1" fillId="7" borderId="1" xfId="0" applyNumberFormat="1" applyFont="1" applyFill="1" applyBorder="1" applyAlignment="1">
      <alignment horizontal="center"/>
    </xf>
    <xf numFmtId="164" fontId="1" fillId="7" borderId="5" xfId="0" applyNumberFormat="1" applyFont="1" applyFill="1" applyBorder="1" applyAlignment="1">
      <alignment horizontal="center"/>
    </xf>
    <xf numFmtId="11" fontId="0" fillId="0" borderId="0" xfId="0" applyNumberFormat="1"/>
    <xf numFmtId="164" fontId="0" fillId="15" borderId="5" xfId="0" applyNumberFormat="1" applyFill="1" applyBorder="1" applyAlignment="1">
      <alignment horizontal="center" vertical="center"/>
    </xf>
    <xf numFmtId="168" fontId="0" fillId="0" borderId="5" xfId="0" applyNumberFormat="1" applyFont="1" applyFill="1" applyBorder="1" applyAlignment="1">
      <alignment horizontal="center" vertical="center" wrapText="1"/>
    </xf>
    <xf numFmtId="0" fontId="0" fillId="0" borderId="5" xfId="0" applyFont="1" applyFill="1" applyBorder="1" applyAlignment="1">
      <alignment vertical="center" wrapText="1"/>
    </xf>
    <xf numFmtId="164" fontId="1" fillId="0" borderId="5" xfId="0" applyNumberFormat="1" applyFont="1" applyBorder="1" applyAlignment="1">
      <alignment horizontal="center" vertical="center" wrapText="1"/>
    </xf>
    <xf numFmtId="168" fontId="0" fillId="15" borderId="5" xfId="0" applyNumberFormat="1" applyFont="1" applyFill="1" applyBorder="1" applyAlignment="1">
      <alignment horizontal="center" vertical="center" wrapText="1"/>
    </xf>
    <xf numFmtId="0" fontId="0" fillId="0" borderId="0" xfId="0" applyAlignment="1">
      <alignment vertical="center"/>
    </xf>
    <xf numFmtId="0" fontId="0" fillId="0" borderId="5" xfId="0" applyBorder="1" applyAlignment="1">
      <alignment vertical="center"/>
    </xf>
    <xf numFmtId="11" fontId="0" fillId="0" borderId="5" xfId="0" applyNumberForma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 fillId="5" borderId="2" xfId="0" applyFont="1" applyFill="1" applyBorder="1" applyAlignment="1">
      <alignment horizontal="left" vertical="center"/>
    </xf>
    <xf numFmtId="0" fontId="1" fillId="18" borderId="0" xfId="0" applyFont="1" applyFill="1" applyBorder="1" applyAlignment="1">
      <alignment horizontal="center" vertical="center" wrapText="1"/>
    </xf>
    <xf numFmtId="164" fontId="0" fillId="0" borderId="5" xfId="0" applyNumberFormat="1" applyFill="1" applyBorder="1" applyAlignment="1">
      <alignment vertical="center"/>
    </xf>
    <xf numFmtId="164" fontId="0" fillId="0" borderId="0" xfId="0" applyNumberFormat="1" applyAlignment="1">
      <alignment vertical="center"/>
    </xf>
    <xf numFmtId="164" fontId="23" fillId="15" borderId="5" xfId="0" applyNumberFormat="1" applyFont="1" applyFill="1" applyBorder="1" applyAlignment="1">
      <alignment vertical="center"/>
    </xf>
    <xf numFmtId="164" fontId="0" fillId="0" borderId="0" xfId="0" applyNumberFormat="1" applyFill="1" applyAlignment="1">
      <alignment vertical="center"/>
    </xf>
    <xf numFmtId="17" fontId="0" fillId="3" borderId="0" xfId="0" applyNumberFormat="1" applyFill="1" applyAlignment="1">
      <alignment vertical="center" wrapText="1"/>
    </xf>
    <xf numFmtId="168" fontId="0" fillId="3" borderId="5" xfId="0" applyNumberFormat="1" applyFont="1" applyFill="1" applyBorder="1" applyAlignment="1">
      <alignment horizontal="center" vertical="center" wrapText="1"/>
    </xf>
    <xf numFmtId="0" fontId="0" fillId="3" borderId="5" xfId="0" applyFill="1" applyBorder="1" applyAlignment="1">
      <alignment vertical="center" wrapText="1"/>
    </xf>
    <xf numFmtId="164" fontId="0" fillId="0" borderId="5" xfId="0" applyNumberFormat="1" applyBorder="1" applyAlignment="1">
      <alignment vertical="center"/>
    </xf>
    <xf numFmtId="0" fontId="0" fillId="0" borderId="5" xfId="0" applyFill="1" applyBorder="1" applyAlignment="1">
      <alignment vertical="center"/>
    </xf>
    <xf numFmtId="0" fontId="0" fillId="9" borderId="5" xfId="0" applyFill="1" applyBorder="1" applyAlignment="1">
      <alignment vertical="center"/>
    </xf>
    <xf numFmtId="0" fontId="22"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22" fillId="11" borderId="5" xfId="0" applyFont="1" applyFill="1" applyBorder="1" applyAlignment="1">
      <alignment horizontal="center" vertical="center" wrapText="1"/>
    </xf>
    <xf numFmtId="164" fontId="22" fillId="11" borderId="5" xfId="0" applyNumberFormat="1" applyFont="1" applyFill="1" applyBorder="1" applyAlignment="1">
      <alignment horizontal="center" vertical="center" wrapText="1"/>
    </xf>
    <xf numFmtId="0" fontId="22" fillId="11" borderId="5" xfId="0" applyFont="1" applyFill="1" applyBorder="1" applyAlignment="1">
      <alignment wrapText="1"/>
    </xf>
    <xf numFmtId="17" fontId="0" fillId="9" borderId="0" xfId="0" applyNumberFormat="1" applyFill="1" applyAlignment="1">
      <alignment vertical="center" wrapText="1"/>
    </xf>
    <xf numFmtId="164" fontId="0" fillId="9" borderId="5" xfId="0" applyNumberFormat="1" applyFill="1" applyBorder="1" applyAlignment="1">
      <alignment vertical="center"/>
    </xf>
    <xf numFmtId="164" fontId="23" fillId="9" borderId="5" xfId="0" applyNumberFormat="1" applyFont="1" applyFill="1" applyBorder="1" applyAlignment="1">
      <alignment vertical="center"/>
    </xf>
    <xf numFmtId="164" fontId="15" fillId="9" borderId="5" xfId="0" applyNumberFormat="1" applyFont="1" applyFill="1" applyBorder="1" applyAlignment="1">
      <alignment horizontal="center" vertical="center"/>
    </xf>
    <xf numFmtId="164" fontId="0" fillId="9" borderId="5" xfId="0" applyNumberFormat="1" applyFill="1" applyBorder="1" applyAlignment="1">
      <alignment horizontal="center" vertical="center"/>
    </xf>
    <xf numFmtId="164" fontId="1" fillId="9" borderId="5" xfId="0" applyNumberFormat="1" applyFont="1" applyFill="1" applyBorder="1" applyAlignment="1">
      <alignment horizontal="center" vertical="center"/>
    </xf>
    <xf numFmtId="164" fontId="1" fillId="9" borderId="2" xfId="0" applyNumberFormat="1" applyFont="1" applyFill="1" applyBorder="1" applyAlignment="1">
      <alignment horizontal="center" vertical="center" wrapText="1"/>
    </xf>
    <xf numFmtId="164" fontId="2" fillId="9" borderId="2" xfId="0" applyNumberFormat="1" applyFont="1" applyFill="1" applyBorder="1" applyAlignment="1">
      <alignment horizontal="center" vertical="center" wrapText="1"/>
    </xf>
    <xf numFmtId="0" fontId="0" fillId="9" borderId="0" xfId="0" applyFill="1"/>
    <xf numFmtId="0" fontId="0" fillId="0" borderId="0" xfId="0" applyAlignment="1">
      <alignment horizontal="left" vertical="center"/>
    </xf>
    <xf numFmtId="0" fontId="0" fillId="9" borderId="5" xfId="0" applyFill="1" applyBorder="1" applyAlignment="1">
      <alignment horizontal="center" vertical="center"/>
    </xf>
    <xf numFmtId="0" fontId="0" fillId="9" borderId="0" xfId="0" applyFill="1" applyAlignment="1">
      <alignment vertical="center"/>
    </xf>
    <xf numFmtId="15" fontId="0" fillId="9" borderId="0" xfId="0" applyNumberFormat="1" applyFill="1" applyAlignment="1">
      <alignment horizontal="center" vertical="center"/>
    </xf>
    <xf numFmtId="0" fontId="1" fillId="11" borderId="2" xfId="0" applyFont="1" applyFill="1" applyBorder="1" applyAlignment="1">
      <alignment horizontal="centerContinuous"/>
    </xf>
    <xf numFmtId="0" fontId="1" fillId="11" borderId="4" xfId="0" applyFont="1" applyFill="1" applyBorder="1" applyAlignment="1">
      <alignment horizontal="centerContinuous"/>
    </xf>
    <xf numFmtId="0" fontId="1" fillId="19" borderId="2" xfId="0" applyFont="1" applyFill="1" applyBorder="1" applyAlignment="1">
      <alignment horizontal="centerContinuous"/>
    </xf>
    <xf numFmtId="0" fontId="1" fillId="19" borderId="4" xfId="0" applyFont="1" applyFill="1" applyBorder="1" applyAlignment="1">
      <alignment horizontal="centerContinuous"/>
    </xf>
    <xf numFmtId="0" fontId="1" fillId="19" borderId="5" xfId="0" applyFont="1" applyFill="1" applyBorder="1" applyAlignment="1">
      <alignment horizontal="center" vertical="center" wrapText="1"/>
    </xf>
    <xf numFmtId="1" fontId="16" fillId="0" borderId="5"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xf>
    <xf numFmtId="1" fontId="15" fillId="0" borderId="5" xfId="0" applyNumberFormat="1" applyFont="1" applyFill="1" applyBorder="1" applyAlignment="1">
      <alignment horizontal="center" vertical="center"/>
    </xf>
    <xf numFmtId="1" fontId="15" fillId="0" borderId="0" xfId="0" applyNumberFormat="1" applyFont="1" applyFill="1" applyBorder="1" applyAlignment="1">
      <alignment horizontal="center" vertical="center"/>
    </xf>
    <xf numFmtId="1" fontId="15" fillId="0" borderId="0" xfId="0" applyNumberFormat="1" applyFont="1" applyFill="1" applyAlignment="1">
      <alignment horizontal="center" vertical="center"/>
    </xf>
    <xf numFmtId="2" fontId="0" fillId="0" borderId="5" xfId="0" applyNumberFormat="1" applyFill="1" applyBorder="1" applyAlignment="1">
      <alignment horizontal="center" vertical="center"/>
    </xf>
    <xf numFmtId="0" fontId="3" fillId="0" borderId="3" xfId="1" applyFont="1" applyBorder="1" applyAlignment="1">
      <alignment horizontal="left" vertical="top" wrapText="1"/>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3" fillId="0" borderId="3" xfId="1" applyBorder="1" applyAlignment="1">
      <alignment horizontal="left" vertical="top" wrapText="1"/>
    </xf>
    <xf numFmtId="0" fontId="3" fillId="0" borderId="4" xfId="1" applyBorder="1" applyAlignment="1">
      <alignment horizontal="left" vertical="top" wrapText="1"/>
    </xf>
    <xf numFmtId="0" fontId="7" fillId="10" borderId="3" xfId="1" applyFont="1" applyFill="1" applyBorder="1" applyAlignment="1">
      <alignment horizontal="left" vertical="top" wrapText="1"/>
    </xf>
    <xf numFmtId="0" fontId="7" fillId="10" borderId="4" xfId="1" applyFont="1" applyFill="1" applyBorder="1" applyAlignment="1">
      <alignment horizontal="left" vertical="top" wrapText="1"/>
    </xf>
    <xf numFmtId="0" fontId="18" fillId="0" borderId="1" xfId="1" applyFont="1" applyBorder="1" applyAlignment="1">
      <alignment horizontal="center" vertical="center" wrapText="1"/>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3" fillId="0" borderId="0" xfId="1" applyAlignment="1">
      <alignment horizontal="left" vertical="top" wrapText="1"/>
    </xf>
    <xf numFmtId="0" fontId="6" fillId="0" borderId="9" xfId="1" applyFont="1" applyBorder="1" applyAlignment="1">
      <alignment horizontal="center" vertical="center"/>
    </xf>
    <xf numFmtId="0" fontId="3" fillId="0" borderId="10" xfId="1" applyBorder="1" applyAlignment="1"/>
    <xf numFmtId="0" fontId="3" fillId="0" borderId="11" xfId="1" applyBorder="1" applyAlignment="1"/>
    <xf numFmtId="0" fontId="3" fillId="0" borderId="13" xfId="1" applyBorder="1" applyAlignment="1"/>
    <xf numFmtId="0" fontId="3" fillId="0" borderId="0" xfId="1" applyFont="1" applyAlignment="1">
      <alignment horizontal="left" vertical="top" wrapText="1"/>
    </xf>
    <xf numFmtId="0" fontId="3" fillId="0" borderId="4" xfId="1" applyFont="1" applyBorder="1" applyAlignment="1">
      <alignment horizontal="left" vertical="top" wrapText="1"/>
    </xf>
    <xf numFmtId="1" fontId="0" fillId="19" borderId="5" xfId="0" applyNumberFormat="1" applyFill="1" applyBorder="1" applyAlignment="1">
      <alignment horizontal="center" vertical="center"/>
    </xf>
    <xf numFmtId="0" fontId="0" fillId="19" borderId="5" xfId="0" applyFill="1" applyBorder="1" applyAlignment="1">
      <alignment vertical="center" wrapText="1"/>
    </xf>
  </cellXfs>
  <cellStyles count="3">
    <cellStyle name="Currency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466725</xdr:colOff>
      <xdr:row>2</xdr:row>
      <xdr:rowOff>61232</xdr:rowOff>
    </xdr:from>
    <xdr:to>
      <xdr:col>2</xdr:col>
      <xdr:colOff>1581150</xdr:colOff>
      <xdr:row>5</xdr:row>
      <xdr:rowOff>370114</xdr:rowOff>
    </xdr:to>
    <xdr:pic>
      <xdr:nvPicPr>
        <xdr:cNvPr id="2" name="Picture 3" descr="LSSTlogo"/>
        <xdr:cNvPicPr>
          <a:picLocks noChangeAspect="1" noChangeArrowheads="1"/>
        </xdr:cNvPicPr>
      </xdr:nvPicPr>
      <xdr:blipFill>
        <a:blip xmlns:r="http://schemas.openxmlformats.org/officeDocument/2006/relationships" r:embed="rId1" cstate="print"/>
        <a:srcRect/>
        <a:stretch>
          <a:fillRect/>
        </a:stretch>
      </xdr:blipFill>
      <xdr:spPr bwMode="auto">
        <a:xfrm>
          <a:off x="575582" y="346982"/>
          <a:ext cx="1849211" cy="79873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60</xdr:row>
      <xdr:rowOff>133812</xdr:rowOff>
    </xdr:from>
    <xdr:to>
      <xdr:col>8</xdr:col>
      <xdr:colOff>1384106</xdr:colOff>
      <xdr:row>78</xdr:row>
      <xdr:rowOff>123099</xdr:rowOff>
    </xdr:to>
    <xdr:pic>
      <xdr:nvPicPr>
        <xdr:cNvPr id="2" name="Picture 1"/>
        <xdr:cNvPicPr>
          <a:picLocks noChangeAspect="1"/>
        </xdr:cNvPicPr>
      </xdr:nvPicPr>
      <xdr:blipFill>
        <a:blip xmlns:r="http://schemas.openxmlformats.org/officeDocument/2006/relationships" r:embed="rId1"/>
        <a:stretch>
          <a:fillRect/>
        </a:stretch>
      </xdr:blipFill>
      <xdr:spPr>
        <a:xfrm>
          <a:off x="3762375" y="14449887"/>
          <a:ext cx="5679881" cy="34182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U105"/>
  <sheetViews>
    <sheetView showGridLines="0" tabSelected="1" zoomScaleNormal="100" workbookViewId="0">
      <selection activeCell="C22" sqref="C22:E22"/>
    </sheetView>
  </sheetViews>
  <sheetFormatPr defaultColWidth="9.140625" defaultRowHeight="12.75" x14ac:dyDescent="0.2"/>
  <cols>
    <col min="1" max="1" width="1.7109375" style="47" customWidth="1"/>
    <col min="2" max="2" width="11" style="47" customWidth="1"/>
    <col min="3" max="3" width="34.7109375" style="47" customWidth="1"/>
    <col min="4" max="4" width="25.7109375" style="47" customWidth="1"/>
    <col min="5" max="5" width="20.140625" style="47" customWidth="1"/>
    <col min="6" max="6" width="9.140625" style="47" customWidth="1"/>
    <col min="7" max="7" width="9.140625" style="47"/>
    <col min="8" max="8" width="9.140625" style="47" customWidth="1"/>
    <col min="9" max="16384" width="9.140625" style="47"/>
  </cols>
  <sheetData>
    <row r="2" spans="2:5" ht="9.75" customHeight="1" x14ac:dyDescent="0.2">
      <c r="B2" s="44"/>
      <c r="C2" s="45"/>
      <c r="D2" s="46" t="s">
        <v>37</v>
      </c>
      <c r="E2" s="366" t="s">
        <v>499</v>
      </c>
    </row>
    <row r="3" spans="2:5" ht="15.75" x14ac:dyDescent="0.25">
      <c r="B3" s="48"/>
      <c r="C3" s="49"/>
      <c r="D3" s="50" t="s">
        <v>500</v>
      </c>
      <c r="E3" s="367"/>
    </row>
    <row r="4" spans="2:5" ht="9.75" customHeight="1" x14ac:dyDescent="0.2">
      <c r="B4" s="48"/>
      <c r="C4" s="49"/>
      <c r="D4" s="51" t="s">
        <v>38</v>
      </c>
      <c r="E4" s="367"/>
    </row>
    <row r="5" spans="2:5" x14ac:dyDescent="0.2">
      <c r="B5" s="48"/>
      <c r="C5" s="49"/>
      <c r="D5" s="52" t="s">
        <v>39</v>
      </c>
      <c r="E5" s="367"/>
    </row>
    <row r="6" spans="2:5" ht="30.75" customHeight="1" x14ac:dyDescent="0.2">
      <c r="B6" s="48"/>
      <c r="C6" s="49"/>
      <c r="D6" s="229" t="s">
        <v>326</v>
      </c>
      <c r="E6" s="368"/>
    </row>
    <row r="7" spans="2:5" ht="9.75" customHeight="1" x14ac:dyDescent="0.2">
      <c r="B7" s="370"/>
      <c r="C7" s="371"/>
      <c r="D7" s="51" t="s">
        <v>40</v>
      </c>
      <c r="E7" s="49"/>
    </row>
    <row r="8" spans="2:5" x14ac:dyDescent="0.2">
      <c r="B8" s="372"/>
      <c r="C8" s="373"/>
      <c r="D8" s="53" t="s">
        <v>55</v>
      </c>
      <c r="E8" s="54"/>
    </row>
    <row r="9" spans="2:5" ht="9.75" customHeight="1" x14ac:dyDescent="0.2">
      <c r="B9" s="51" t="s">
        <v>41</v>
      </c>
      <c r="C9" s="55"/>
      <c r="D9" s="55"/>
      <c r="E9" s="49"/>
    </row>
    <row r="10" spans="2:5" ht="15.75" x14ac:dyDescent="0.25">
      <c r="B10" s="50" t="s">
        <v>54</v>
      </c>
      <c r="C10" s="56"/>
      <c r="D10" s="57"/>
      <c r="E10" s="58"/>
    </row>
    <row r="12" spans="2:5" x14ac:dyDescent="0.2">
      <c r="B12" s="59" t="s">
        <v>42</v>
      </c>
    </row>
    <row r="13" spans="2:5" ht="42" customHeight="1" x14ac:dyDescent="0.2">
      <c r="B13" s="60"/>
      <c r="C13" s="369" t="s">
        <v>242</v>
      </c>
      <c r="D13" s="369"/>
      <c r="E13" s="369"/>
    </row>
    <row r="14" spans="2:5" ht="12.75" customHeight="1" x14ac:dyDescent="0.2">
      <c r="B14" s="59" t="s">
        <v>43</v>
      </c>
      <c r="C14" s="369"/>
      <c r="D14" s="369"/>
      <c r="E14" s="369"/>
    </row>
    <row r="15" spans="2:5" ht="25.5" customHeight="1" x14ac:dyDescent="0.2">
      <c r="B15" s="144" t="s">
        <v>75</v>
      </c>
      <c r="C15" s="374" t="s">
        <v>266</v>
      </c>
      <c r="D15" s="369"/>
      <c r="E15" s="369"/>
    </row>
    <row r="16" spans="2:5" x14ac:dyDescent="0.2">
      <c r="B16" s="206" t="s">
        <v>267</v>
      </c>
      <c r="C16" s="374" t="s">
        <v>268</v>
      </c>
      <c r="D16" s="369"/>
      <c r="E16" s="369"/>
    </row>
    <row r="17" spans="2:18" x14ac:dyDescent="0.2">
      <c r="B17" s="206" t="s">
        <v>269</v>
      </c>
      <c r="C17" s="374" t="s">
        <v>270</v>
      </c>
      <c r="D17" s="369"/>
      <c r="E17" s="369"/>
    </row>
    <row r="18" spans="2:18" x14ac:dyDescent="0.2">
      <c r="B18" s="61" t="s">
        <v>44</v>
      </c>
      <c r="C18" s="369" t="s">
        <v>45</v>
      </c>
      <c r="D18" s="369"/>
      <c r="E18" s="369"/>
    </row>
    <row r="19" spans="2:18" x14ac:dyDescent="0.2">
      <c r="B19" s="61" t="s">
        <v>46</v>
      </c>
      <c r="C19" s="369" t="s">
        <v>47</v>
      </c>
      <c r="D19" s="369"/>
      <c r="E19" s="369"/>
    </row>
    <row r="20" spans="2:18" x14ac:dyDescent="0.2">
      <c r="B20" s="61" t="s">
        <v>48</v>
      </c>
      <c r="C20" s="369" t="s">
        <v>49</v>
      </c>
      <c r="D20" s="369"/>
      <c r="E20" s="369"/>
    </row>
    <row r="21" spans="2:18" x14ac:dyDescent="0.2">
      <c r="B21" s="205"/>
      <c r="C21" s="205"/>
      <c r="D21" s="205"/>
      <c r="E21" s="205"/>
    </row>
    <row r="22" spans="2:18" ht="12.75" customHeight="1" x14ac:dyDescent="0.2">
      <c r="B22" s="59" t="s">
        <v>271</v>
      </c>
      <c r="C22" s="369"/>
      <c r="D22" s="369"/>
      <c r="E22" s="369"/>
    </row>
    <row r="23" spans="2:18" x14ac:dyDescent="0.2">
      <c r="B23" s="205"/>
      <c r="C23" s="369" t="s">
        <v>272</v>
      </c>
      <c r="D23" s="369"/>
      <c r="E23" s="369"/>
    </row>
    <row r="24" spans="2:18" ht="52.5" customHeight="1" x14ac:dyDescent="0.2">
      <c r="B24" s="205"/>
      <c r="C24" s="369" t="s">
        <v>273</v>
      </c>
      <c r="D24" s="369"/>
      <c r="E24" s="369"/>
    </row>
    <row r="25" spans="2:18" x14ac:dyDescent="0.2">
      <c r="B25" s="205"/>
      <c r="C25" s="369"/>
      <c r="D25" s="369"/>
      <c r="E25" s="369"/>
    </row>
    <row r="26" spans="2:18" ht="12.75" customHeight="1" x14ac:dyDescent="0.2">
      <c r="B26" s="61"/>
      <c r="C26" s="369"/>
      <c r="D26" s="369"/>
      <c r="E26" s="369"/>
    </row>
    <row r="27" spans="2:18" x14ac:dyDescent="0.2">
      <c r="B27" s="59" t="s">
        <v>50</v>
      </c>
      <c r="C27" s="369"/>
      <c r="D27" s="369"/>
      <c r="E27" s="369"/>
    </row>
    <row r="28" spans="2:18" x14ac:dyDescent="0.2">
      <c r="C28" s="369"/>
      <c r="D28" s="369"/>
      <c r="E28" s="369"/>
    </row>
    <row r="29" spans="2:18" x14ac:dyDescent="0.2">
      <c r="C29" s="369"/>
      <c r="D29" s="369"/>
      <c r="E29" s="369"/>
    </row>
    <row r="30" spans="2:18" s="55" customFormat="1" x14ac:dyDescent="0.2">
      <c r="B30" s="62" t="s">
        <v>51</v>
      </c>
      <c r="C30" s="63"/>
      <c r="D30" s="64"/>
      <c r="F30" s="47"/>
      <c r="G30" s="65"/>
      <c r="H30" s="65"/>
      <c r="I30" s="66"/>
      <c r="J30" s="67"/>
      <c r="K30" s="68"/>
      <c r="L30" s="68"/>
      <c r="P30" s="69"/>
      <c r="Q30" s="47"/>
      <c r="R30" s="70"/>
    </row>
    <row r="31" spans="2:18" s="55" customFormat="1" x14ac:dyDescent="0.2">
      <c r="B31" s="71"/>
      <c r="C31" s="369"/>
      <c r="D31" s="369"/>
      <c r="E31" s="369"/>
      <c r="F31" s="47"/>
      <c r="G31" s="65"/>
      <c r="H31" s="65"/>
      <c r="I31" s="66"/>
      <c r="J31" s="67"/>
      <c r="K31" s="68"/>
      <c r="L31" s="68"/>
      <c r="P31" s="69"/>
      <c r="Q31" s="47"/>
      <c r="R31" s="70"/>
    </row>
    <row r="32" spans="2:18" s="55" customFormat="1" x14ac:dyDescent="0.2">
      <c r="B32" s="72"/>
      <c r="C32" s="364" t="s">
        <v>501</v>
      </c>
      <c r="D32" s="364"/>
      <c r="E32" s="365"/>
      <c r="F32" s="47"/>
      <c r="G32" s="65"/>
      <c r="H32" s="65"/>
      <c r="I32" s="66"/>
      <c r="J32" s="67"/>
      <c r="K32" s="68"/>
      <c r="L32" s="68"/>
      <c r="P32" s="69"/>
      <c r="Q32" s="47"/>
      <c r="R32" s="70"/>
    </row>
    <row r="33" spans="2:18" s="55" customFormat="1" x14ac:dyDescent="0.2">
      <c r="B33" s="73"/>
      <c r="C33" s="359"/>
      <c r="D33" s="360"/>
      <c r="E33" s="361"/>
      <c r="F33" s="47"/>
      <c r="G33" s="65"/>
      <c r="H33" s="65"/>
      <c r="I33" s="66"/>
      <c r="J33" s="67"/>
      <c r="K33" s="68"/>
      <c r="L33" s="68"/>
      <c r="P33" s="69"/>
      <c r="Q33" s="47"/>
      <c r="R33" s="70"/>
    </row>
    <row r="34" spans="2:18" s="55" customFormat="1" x14ac:dyDescent="0.2">
      <c r="B34" s="73"/>
      <c r="C34" s="359"/>
      <c r="D34" s="360"/>
      <c r="E34" s="361"/>
      <c r="F34" s="47"/>
      <c r="G34" s="65"/>
      <c r="H34" s="65"/>
      <c r="I34" s="66"/>
      <c r="J34" s="67"/>
      <c r="K34" s="68"/>
      <c r="L34" s="68"/>
      <c r="P34" s="69"/>
      <c r="Q34" s="47"/>
      <c r="R34" s="70"/>
    </row>
    <row r="35" spans="2:18" s="55" customFormat="1" x14ac:dyDescent="0.2">
      <c r="B35" s="73"/>
      <c r="C35" s="359"/>
      <c r="D35" s="360"/>
      <c r="E35" s="361"/>
      <c r="F35" s="47"/>
      <c r="G35" s="65"/>
      <c r="H35" s="65"/>
      <c r="I35" s="66"/>
      <c r="J35" s="67"/>
      <c r="K35" s="68"/>
      <c r="L35" s="68"/>
      <c r="P35" s="69"/>
      <c r="Q35" s="47"/>
      <c r="R35" s="70"/>
    </row>
    <row r="36" spans="2:18" s="55" customFormat="1" x14ac:dyDescent="0.2">
      <c r="B36" s="73"/>
      <c r="C36" s="359"/>
      <c r="D36" s="360"/>
      <c r="E36" s="361"/>
      <c r="F36" s="47"/>
      <c r="G36" s="65"/>
      <c r="H36" s="65"/>
      <c r="I36" s="66"/>
      <c r="J36" s="67"/>
      <c r="K36" s="68"/>
      <c r="L36" s="68"/>
      <c r="P36" s="69"/>
      <c r="Q36" s="47"/>
      <c r="R36" s="70"/>
    </row>
    <row r="37" spans="2:18" s="55" customFormat="1" x14ac:dyDescent="0.2">
      <c r="B37" s="73">
        <v>43249</v>
      </c>
      <c r="C37" s="359" t="s">
        <v>504</v>
      </c>
      <c r="D37" s="360"/>
      <c r="E37" s="361"/>
      <c r="F37" s="47"/>
      <c r="G37" s="65"/>
      <c r="H37" s="65"/>
      <c r="I37" s="66"/>
      <c r="J37" s="67"/>
      <c r="K37" s="68"/>
      <c r="L37" s="68"/>
      <c r="P37" s="69"/>
      <c r="Q37" s="47"/>
      <c r="R37" s="70"/>
    </row>
    <row r="38" spans="2:18" s="55" customFormat="1" ht="26.25" customHeight="1" x14ac:dyDescent="0.2">
      <c r="B38" s="73">
        <v>43249</v>
      </c>
      <c r="C38" s="359" t="s">
        <v>502</v>
      </c>
      <c r="D38" s="360"/>
      <c r="E38" s="361"/>
      <c r="F38" s="47"/>
      <c r="G38" s="65"/>
      <c r="H38" s="65"/>
      <c r="I38" s="66"/>
      <c r="J38" s="67"/>
      <c r="K38" s="68"/>
      <c r="L38" s="68"/>
      <c r="P38" s="69"/>
      <c r="Q38" s="47"/>
      <c r="R38" s="70"/>
    </row>
    <row r="39" spans="2:18" s="55" customFormat="1" x14ac:dyDescent="0.2">
      <c r="B39" s="73"/>
      <c r="C39" s="359"/>
      <c r="D39" s="360"/>
      <c r="E39" s="361"/>
      <c r="F39" s="47"/>
      <c r="G39" s="65"/>
      <c r="H39" s="65"/>
      <c r="I39" s="66"/>
      <c r="J39" s="67"/>
      <c r="K39" s="68"/>
      <c r="L39" s="68"/>
      <c r="P39" s="69"/>
      <c r="Q39" s="47"/>
      <c r="R39" s="70"/>
    </row>
    <row r="40" spans="2:18" s="55" customFormat="1" x14ac:dyDescent="0.2">
      <c r="B40" s="72"/>
      <c r="C40" s="364" t="s">
        <v>435</v>
      </c>
      <c r="D40" s="364"/>
      <c r="E40" s="365"/>
      <c r="F40" s="47"/>
      <c r="G40" s="65"/>
      <c r="H40" s="65"/>
      <c r="I40" s="66"/>
      <c r="J40" s="67"/>
      <c r="K40" s="68"/>
      <c r="L40" s="68"/>
      <c r="P40" s="69"/>
      <c r="Q40" s="47"/>
      <c r="R40" s="70"/>
    </row>
    <row r="41" spans="2:18" s="55" customFormat="1" x14ac:dyDescent="0.2">
      <c r="B41" s="73"/>
      <c r="C41" s="359"/>
      <c r="D41" s="360"/>
      <c r="E41" s="361"/>
      <c r="F41" s="47"/>
      <c r="G41" s="65"/>
      <c r="H41" s="65"/>
      <c r="I41" s="66"/>
      <c r="J41" s="67"/>
      <c r="K41" s="68"/>
      <c r="L41" s="68"/>
      <c r="P41" s="69"/>
      <c r="Q41" s="47"/>
      <c r="R41" s="70"/>
    </row>
    <row r="42" spans="2:18" s="55" customFormat="1" x14ac:dyDescent="0.2">
      <c r="B42" s="73">
        <v>43168</v>
      </c>
      <c r="C42" s="359" t="s">
        <v>466</v>
      </c>
      <c r="D42" s="360"/>
      <c r="E42" s="361"/>
      <c r="F42" s="47"/>
      <c r="G42" s="65"/>
      <c r="H42" s="65"/>
      <c r="I42" s="66"/>
      <c r="J42" s="67"/>
      <c r="K42" s="68"/>
      <c r="L42" s="68"/>
      <c r="P42" s="69"/>
      <c r="Q42" s="47"/>
      <c r="R42" s="70"/>
    </row>
    <row r="43" spans="2:18" s="55" customFormat="1" x14ac:dyDescent="0.2">
      <c r="B43" s="73">
        <v>43145</v>
      </c>
      <c r="C43" s="359" t="s">
        <v>496</v>
      </c>
      <c r="D43" s="360"/>
      <c r="E43" s="361"/>
      <c r="F43" s="47"/>
      <c r="G43" s="65"/>
      <c r="H43" s="65"/>
      <c r="I43" s="66"/>
      <c r="J43" s="67"/>
      <c r="K43" s="68"/>
      <c r="L43" s="68"/>
      <c r="P43" s="69"/>
      <c r="Q43" s="47"/>
      <c r="R43" s="70"/>
    </row>
    <row r="44" spans="2:18" s="55" customFormat="1" ht="39" customHeight="1" x14ac:dyDescent="0.2">
      <c r="B44" s="73">
        <v>43032</v>
      </c>
      <c r="C44" s="359" t="s">
        <v>489</v>
      </c>
      <c r="D44" s="360"/>
      <c r="E44" s="361"/>
      <c r="F44" s="47"/>
      <c r="G44" s="65"/>
      <c r="H44" s="65"/>
      <c r="I44" s="66"/>
      <c r="J44" s="67"/>
      <c r="K44" s="68"/>
      <c r="L44" s="68"/>
      <c r="P44" s="69"/>
      <c r="Q44" s="47"/>
      <c r="R44" s="70"/>
    </row>
    <row r="45" spans="2:18" s="55" customFormat="1" ht="48.75" customHeight="1" x14ac:dyDescent="0.2">
      <c r="B45" s="73">
        <v>42993</v>
      </c>
      <c r="C45" s="359" t="s">
        <v>475</v>
      </c>
      <c r="D45" s="360"/>
      <c r="E45" s="361"/>
      <c r="F45" s="47"/>
      <c r="G45" s="65"/>
      <c r="H45" s="65"/>
      <c r="I45" s="66"/>
      <c r="J45" s="67"/>
      <c r="K45" s="68"/>
      <c r="L45" s="68"/>
      <c r="P45" s="69"/>
      <c r="Q45" s="47"/>
      <c r="R45" s="70"/>
    </row>
    <row r="46" spans="2:18" s="55" customFormat="1" ht="69.75" customHeight="1" x14ac:dyDescent="0.2">
      <c r="B46" s="73">
        <v>42989</v>
      </c>
      <c r="C46" s="359" t="s">
        <v>455</v>
      </c>
      <c r="D46" s="360"/>
      <c r="E46" s="361"/>
      <c r="F46" s="47"/>
      <c r="G46" s="65"/>
      <c r="H46" s="65"/>
      <c r="I46" s="66"/>
      <c r="J46" s="67"/>
      <c r="K46" s="68"/>
      <c r="L46" s="68"/>
      <c r="P46" s="69"/>
      <c r="Q46" s="47"/>
      <c r="R46" s="70"/>
    </row>
    <row r="47" spans="2:18" s="55" customFormat="1" ht="64.5" customHeight="1" x14ac:dyDescent="0.2">
      <c r="B47" s="73">
        <v>42936</v>
      </c>
      <c r="C47" s="359" t="s">
        <v>453</v>
      </c>
      <c r="D47" s="360"/>
      <c r="E47" s="361"/>
      <c r="F47" s="47"/>
      <c r="G47" s="65"/>
      <c r="H47" s="65"/>
      <c r="I47" s="66"/>
      <c r="J47" s="67"/>
      <c r="K47" s="68"/>
      <c r="L47" s="68"/>
      <c r="P47" s="69"/>
      <c r="Q47" s="47"/>
      <c r="R47" s="70"/>
    </row>
    <row r="48" spans="2:18" s="55" customFormat="1" x14ac:dyDescent="0.2">
      <c r="B48" s="73"/>
      <c r="C48" s="359"/>
      <c r="D48" s="360"/>
      <c r="E48" s="361"/>
      <c r="F48" s="47"/>
      <c r="G48" s="65"/>
      <c r="H48" s="65"/>
      <c r="I48" s="66"/>
      <c r="J48" s="67"/>
      <c r="K48" s="68"/>
      <c r="L48" s="68"/>
      <c r="P48" s="69"/>
      <c r="Q48" s="47"/>
      <c r="R48" s="70"/>
    </row>
    <row r="49" spans="2:18" s="55" customFormat="1" x14ac:dyDescent="0.2">
      <c r="B49" s="72"/>
      <c r="C49" s="364" t="s">
        <v>412</v>
      </c>
      <c r="D49" s="364"/>
      <c r="E49" s="365"/>
      <c r="F49" s="47"/>
      <c r="G49" s="65"/>
      <c r="H49" s="65"/>
      <c r="I49" s="66"/>
      <c r="J49" s="67"/>
      <c r="K49" s="68"/>
      <c r="L49" s="68"/>
      <c r="P49" s="69"/>
      <c r="Q49" s="47"/>
      <c r="R49" s="70"/>
    </row>
    <row r="50" spans="2:18" s="55" customFormat="1" x14ac:dyDescent="0.2">
      <c r="B50" s="73">
        <v>42824</v>
      </c>
      <c r="C50" s="359" t="s">
        <v>418</v>
      </c>
      <c r="D50" s="360"/>
      <c r="E50" s="361"/>
      <c r="F50" s="47"/>
      <c r="G50" s="65"/>
      <c r="H50" s="65"/>
      <c r="I50" s="66"/>
      <c r="J50" s="67"/>
      <c r="K50" s="68"/>
      <c r="L50" s="68"/>
      <c r="P50" s="69"/>
      <c r="Q50" s="47"/>
      <c r="R50" s="70"/>
    </row>
    <row r="51" spans="2:18" s="55" customFormat="1" ht="44.25" customHeight="1" x14ac:dyDescent="0.2">
      <c r="B51" s="73">
        <v>42768</v>
      </c>
      <c r="C51" s="359" t="s">
        <v>417</v>
      </c>
      <c r="D51" s="360"/>
      <c r="E51" s="361"/>
      <c r="F51" s="47"/>
      <c r="G51" s="65"/>
      <c r="H51" s="65"/>
      <c r="I51" s="66"/>
      <c r="J51" s="67"/>
      <c r="K51" s="68"/>
      <c r="L51" s="68"/>
      <c r="P51" s="69"/>
      <c r="Q51" s="47"/>
      <c r="R51" s="70"/>
    </row>
    <row r="52" spans="2:18" s="55" customFormat="1" x14ac:dyDescent="0.2">
      <c r="B52" s="73"/>
      <c r="C52" s="359"/>
      <c r="D52" s="360"/>
      <c r="E52" s="361"/>
      <c r="F52" s="47"/>
      <c r="G52" s="65"/>
      <c r="H52" s="65"/>
      <c r="I52" s="66"/>
      <c r="J52" s="67"/>
      <c r="K52" s="68"/>
      <c r="L52" s="68"/>
      <c r="P52" s="69"/>
      <c r="Q52" s="47"/>
      <c r="R52" s="70"/>
    </row>
    <row r="53" spans="2:18" s="55" customFormat="1" x14ac:dyDescent="0.2">
      <c r="B53" s="72"/>
      <c r="C53" s="364" t="s">
        <v>360</v>
      </c>
      <c r="D53" s="364"/>
      <c r="E53" s="365"/>
      <c r="F53" s="47"/>
      <c r="G53" s="65"/>
      <c r="H53" s="65"/>
      <c r="I53" s="66"/>
      <c r="J53" s="67"/>
      <c r="K53" s="68"/>
      <c r="L53" s="68"/>
      <c r="P53" s="69"/>
      <c r="Q53" s="47"/>
      <c r="R53" s="70"/>
    </row>
    <row r="54" spans="2:18" s="55" customFormat="1" x14ac:dyDescent="0.2">
      <c r="B54" s="73"/>
      <c r="C54" s="359"/>
      <c r="D54" s="360"/>
      <c r="E54" s="361"/>
      <c r="F54" s="47"/>
      <c r="G54" s="65"/>
      <c r="H54" s="65"/>
      <c r="I54" s="66"/>
      <c r="J54" s="67"/>
      <c r="K54" s="68"/>
      <c r="L54" s="68"/>
      <c r="P54" s="69"/>
      <c r="Q54" s="47"/>
      <c r="R54" s="70"/>
    </row>
    <row r="55" spans="2:18" s="55" customFormat="1" x14ac:dyDescent="0.2">
      <c r="B55" s="73">
        <v>42712</v>
      </c>
      <c r="C55" s="359" t="s">
        <v>411</v>
      </c>
      <c r="D55" s="360"/>
      <c r="E55" s="361"/>
      <c r="F55" s="47"/>
      <c r="G55" s="65"/>
      <c r="H55" s="65"/>
      <c r="I55" s="66"/>
      <c r="J55" s="67"/>
      <c r="K55" s="68"/>
      <c r="L55" s="68"/>
      <c r="P55" s="69"/>
      <c r="Q55" s="47"/>
      <c r="R55" s="70"/>
    </row>
    <row r="56" spans="2:18" s="55" customFormat="1" ht="77.25" customHeight="1" x14ac:dyDescent="0.2">
      <c r="B56" s="73">
        <v>42683</v>
      </c>
      <c r="C56" s="359" t="s">
        <v>404</v>
      </c>
      <c r="D56" s="360"/>
      <c r="E56" s="361"/>
      <c r="F56" s="47"/>
      <c r="G56" s="65"/>
      <c r="H56" s="65"/>
      <c r="I56" s="66"/>
      <c r="J56" s="67"/>
      <c r="K56" s="68"/>
      <c r="L56" s="68"/>
      <c r="P56" s="69"/>
      <c r="Q56" s="47"/>
      <c r="R56" s="70"/>
    </row>
    <row r="57" spans="2:18" s="55" customFormat="1" ht="76.5" customHeight="1" x14ac:dyDescent="0.2">
      <c r="B57" s="73">
        <v>42683</v>
      </c>
      <c r="C57" s="359" t="s">
        <v>401</v>
      </c>
      <c r="D57" s="359"/>
      <c r="E57" s="375"/>
      <c r="F57" s="47"/>
      <c r="G57" s="65"/>
      <c r="H57" s="65"/>
      <c r="I57" s="66"/>
      <c r="J57" s="67"/>
      <c r="K57" s="68"/>
      <c r="L57" s="68"/>
      <c r="P57" s="69"/>
      <c r="Q57" s="47"/>
      <c r="R57" s="70"/>
    </row>
    <row r="58" spans="2:18" s="55" customFormat="1" ht="38.25" customHeight="1" x14ac:dyDescent="0.2">
      <c r="B58" s="73">
        <v>42669</v>
      </c>
      <c r="C58" s="359" t="s">
        <v>400</v>
      </c>
      <c r="D58" s="360"/>
      <c r="E58" s="361"/>
      <c r="F58" s="47"/>
      <c r="G58" s="65"/>
      <c r="H58" s="65"/>
      <c r="I58" s="66"/>
      <c r="J58" s="67"/>
      <c r="K58" s="68"/>
      <c r="L58" s="68"/>
      <c r="P58" s="69"/>
      <c r="Q58" s="47"/>
      <c r="R58" s="70"/>
    </row>
    <row r="59" spans="2:18" s="55" customFormat="1" x14ac:dyDescent="0.2">
      <c r="B59" s="71"/>
      <c r="C59" s="369"/>
      <c r="D59" s="369"/>
      <c r="E59" s="369"/>
      <c r="F59" s="47"/>
      <c r="G59" s="65"/>
      <c r="H59" s="65"/>
      <c r="I59" s="66"/>
      <c r="J59" s="67"/>
      <c r="K59" s="68"/>
      <c r="L59" s="68"/>
      <c r="P59" s="69"/>
      <c r="Q59" s="47"/>
      <c r="R59" s="70"/>
    </row>
    <row r="60" spans="2:18" s="55" customFormat="1" x14ac:dyDescent="0.2">
      <c r="B60" s="72"/>
      <c r="C60" s="364" t="s">
        <v>295</v>
      </c>
      <c r="D60" s="364"/>
      <c r="E60" s="365"/>
      <c r="F60" s="47"/>
      <c r="G60" s="65"/>
      <c r="H60" s="65"/>
      <c r="I60" s="66"/>
      <c r="J60" s="67"/>
      <c r="K60" s="68"/>
      <c r="L60" s="68"/>
      <c r="P60" s="69"/>
      <c r="Q60" s="47"/>
      <c r="R60" s="70"/>
    </row>
    <row r="61" spans="2:18" s="55" customFormat="1" ht="25.5" customHeight="1" x14ac:dyDescent="0.2">
      <c r="B61" s="73"/>
      <c r="C61" s="359"/>
      <c r="D61" s="360"/>
      <c r="E61" s="361"/>
      <c r="F61" s="47"/>
      <c r="G61" s="65"/>
      <c r="H61" s="65"/>
      <c r="I61" s="66"/>
      <c r="J61" s="67"/>
      <c r="K61" s="68"/>
      <c r="L61" s="68"/>
      <c r="P61" s="69"/>
      <c r="Q61" s="47"/>
      <c r="R61" s="70"/>
    </row>
    <row r="62" spans="2:18" s="55" customFormat="1" ht="25.5" customHeight="1" x14ac:dyDescent="0.2">
      <c r="B62" s="73">
        <v>42660</v>
      </c>
      <c r="C62" s="242" t="s">
        <v>359</v>
      </c>
      <c r="D62" s="243"/>
      <c r="E62" s="244"/>
      <c r="F62" s="47"/>
      <c r="G62" s="65"/>
      <c r="H62" s="65"/>
      <c r="I62" s="66"/>
      <c r="J62" s="67"/>
      <c r="K62" s="68"/>
      <c r="L62" s="68"/>
      <c r="P62" s="69"/>
      <c r="Q62" s="47"/>
      <c r="R62" s="70"/>
    </row>
    <row r="63" spans="2:18" s="55" customFormat="1" ht="53.25" customHeight="1" x14ac:dyDescent="0.2">
      <c r="B63" s="73">
        <v>42612</v>
      </c>
      <c r="C63" s="359" t="s">
        <v>356</v>
      </c>
      <c r="D63" s="360"/>
      <c r="E63" s="361"/>
      <c r="F63" s="47"/>
      <c r="G63" s="65"/>
      <c r="H63" s="65"/>
      <c r="I63" s="66"/>
      <c r="J63" s="67"/>
      <c r="K63" s="68"/>
      <c r="L63" s="68"/>
      <c r="P63" s="69"/>
      <c r="Q63" s="47"/>
      <c r="R63" s="70"/>
    </row>
    <row r="64" spans="2:18" s="55" customFormat="1" ht="45.75" customHeight="1" x14ac:dyDescent="0.2">
      <c r="B64" s="73">
        <v>42550</v>
      </c>
      <c r="C64" s="359" t="s">
        <v>332</v>
      </c>
      <c r="D64" s="359"/>
      <c r="E64" s="375"/>
      <c r="F64" s="47"/>
      <c r="G64" s="65"/>
      <c r="H64" s="65"/>
      <c r="I64" s="66"/>
      <c r="J64" s="67"/>
      <c r="K64" s="68"/>
      <c r="L64" s="68"/>
      <c r="P64" s="69"/>
      <c r="Q64" s="47"/>
      <c r="R64" s="70"/>
    </row>
    <row r="65" spans="2:18" s="55" customFormat="1" ht="51" customHeight="1" x14ac:dyDescent="0.2">
      <c r="B65" s="73">
        <v>42534</v>
      </c>
      <c r="C65" s="359" t="s">
        <v>331</v>
      </c>
      <c r="D65" s="360"/>
      <c r="E65" s="361"/>
      <c r="F65" s="47"/>
      <c r="G65" s="65"/>
      <c r="H65" s="65"/>
      <c r="I65" s="66"/>
      <c r="J65" s="67"/>
      <c r="K65" s="68"/>
      <c r="L65" s="68"/>
      <c r="P65" s="69"/>
      <c r="Q65" s="47"/>
      <c r="R65" s="70"/>
    </row>
    <row r="66" spans="2:18" s="55" customFormat="1" ht="25.5" customHeight="1" x14ac:dyDescent="0.2">
      <c r="B66" s="73">
        <v>42508</v>
      </c>
      <c r="C66" s="359" t="s">
        <v>312</v>
      </c>
      <c r="D66" s="360"/>
      <c r="E66" s="361"/>
      <c r="F66" s="47"/>
      <c r="G66" s="65"/>
      <c r="H66" s="65"/>
      <c r="I66" s="66"/>
      <c r="J66" s="67"/>
      <c r="K66" s="68"/>
      <c r="L66" s="68"/>
      <c r="P66" s="69"/>
      <c r="Q66" s="47"/>
      <c r="R66" s="70"/>
    </row>
    <row r="67" spans="2:18" s="55" customFormat="1" ht="25.5" customHeight="1" x14ac:dyDescent="0.2">
      <c r="B67" s="73">
        <v>42507</v>
      </c>
      <c r="C67" s="359" t="s">
        <v>310</v>
      </c>
      <c r="D67" s="359"/>
      <c r="E67" s="375"/>
      <c r="F67" s="47"/>
      <c r="G67" s="65"/>
      <c r="H67" s="65"/>
      <c r="I67" s="66"/>
      <c r="J67" s="67"/>
      <c r="K67" s="68"/>
      <c r="L67" s="68"/>
      <c r="P67" s="69"/>
      <c r="Q67" s="47"/>
      <c r="R67" s="70"/>
    </row>
    <row r="68" spans="2:18" s="55" customFormat="1" ht="25.5" customHeight="1" x14ac:dyDescent="0.2">
      <c r="B68" s="73">
        <v>42481</v>
      </c>
      <c r="C68" s="359" t="s">
        <v>311</v>
      </c>
      <c r="D68" s="359"/>
      <c r="E68" s="375"/>
      <c r="F68" s="47"/>
      <c r="G68" s="65"/>
      <c r="H68" s="65"/>
      <c r="I68" s="66"/>
      <c r="J68" s="67"/>
      <c r="K68" s="68"/>
      <c r="L68" s="68"/>
      <c r="P68" s="69"/>
      <c r="Q68" s="47"/>
      <c r="R68" s="70"/>
    </row>
    <row r="69" spans="2:18" s="55" customFormat="1" ht="25.5" customHeight="1" x14ac:dyDescent="0.2">
      <c r="B69" s="73">
        <v>42499</v>
      </c>
      <c r="C69" s="359" t="s">
        <v>296</v>
      </c>
      <c r="D69" s="360"/>
      <c r="E69" s="361"/>
      <c r="F69" s="47"/>
      <c r="G69" s="65"/>
      <c r="H69" s="65"/>
      <c r="I69" s="66"/>
      <c r="J69" s="67"/>
      <c r="K69" s="68"/>
      <c r="L69" s="68"/>
      <c r="P69" s="69"/>
      <c r="Q69" s="47"/>
      <c r="R69" s="70"/>
    </row>
    <row r="70" spans="2:18" s="55" customFormat="1" x14ac:dyDescent="0.2">
      <c r="B70" s="72"/>
      <c r="C70" s="364" t="s">
        <v>289</v>
      </c>
      <c r="D70" s="364"/>
      <c r="E70" s="365"/>
      <c r="F70" s="47"/>
      <c r="G70" s="65"/>
      <c r="H70" s="65"/>
      <c r="I70" s="66"/>
      <c r="J70" s="67"/>
      <c r="K70" s="68"/>
      <c r="L70" s="68"/>
      <c r="P70" s="69"/>
      <c r="Q70" s="47"/>
      <c r="R70" s="70"/>
    </row>
    <row r="71" spans="2:18" s="55" customFormat="1" ht="25.5" customHeight="1" x14ac:dyDescent="0.2">
      <c r="B71" s="73">
        <v>42453</v>
      </c>
      <c r="C71" s="359" t="s">
        <v>294</v>
      </c>
      <c r="D71" s="360"/>
      <c r="E71" s="361"/>
      <c r="F71" s="47"/>
      <c r="G71" s="65"/>
      <c r="H71" s="65"/>
      <c r="I71" s="66"/>
      <c r="J71" s="67"/>
      <c r="K71" s="68"/>
      <c r="L71" s="68"/>
      <c r="P71" s="69"/>
      <c r="Q71" s="47"/>
      <c r="R71" s="70"/>
    </row>
    <row r="72" spans="2:18" s="55" customFormat="1" ht="25.5" customHeight="1" x14ac:dyDescent="0.2">
      <c r="B72" s="73">
        <v>42401</v>
      </c>
      <c r="C72" s="359" t="s">
        <v>291</v>
      </c>
      <c r="D72" s="359"/>
      <c r="E72" s="375"/>
      <c r="F72" s="47"/>
      <c r="G72" s="65"/>
      <c r="H72" s="65"/>
      <c r="I72" s="66"/>
      <c r="J72" s="67"/>
      <c r="K72" s="68"/>
      <c r="L72" s="68"/>
      <c r="P72" s="69"/>
      <c r="Q72" s="47"/>
      <c r="R72" s="70"/>
    </row>
    <row r="73" spans="2:18" s="55" customFormat="1" ht="25.5" customHeight="1" x14ac:dyDescent="0.2">
      <c r="B73" s="73">
        <v>42391</v>
      </c>
      <c r="C73" s="359" t="s">
        <v>290</v>
      </c>
      <c r="D73" s="360"/>
      <c r="E73" s="361"/>
      <c r="F73" s="47"/>
      <c r="G73" s="65"/>
      <c r="H73" s="65"/>
      <c r="I73" s="66"/>
      <c r="J73" s="67"/>
      <c r="K73" s="68"/>
      <c r="L73" s="68"/>
      <c r="P73" s="69"/>
      <c r="Q73" s="47"/>
      <c r="R73" s="70"/>
    </row>
    <row r="74" spans="2:18" s="55" customFormat="1" x14ac:dyDescent="0.2">
      <c r="B74" s="72"/>
      <c r="C74" s="364" t="s">
        <v>52</v>
      </c>
      <c r="D74" s="364"/>
      <c r="E74" s="365"/>
      <c r="F74" s="47"/>
      <c r="G74" s="65"/>
      <c r="H74" s="65"/>
      <c r="I74" s="66"/>
      <c r="J74" s="67"/>
      <c r="K74" s="68"/>
      <c r="L74" s="68"/>
      <c r="P74" s="69"/>
      <c r="Q74" s="47"/>
      <c r="R74" s="70"/>
    </row>
    <row r="75" spans="2:18" s="55" customFormat="1" ht="25.5" customHeight="1" x14ac:dyDescent="0.2">
      <c r="B75" s="73"/>
      <c r="C75" s="359" t="s">
        <v>288</v>
      </c>
      <c r="D75" s="360"/>
      <c r="E75" s="361"/>
      <c r="F75" s="47"/>
      <c r="G75" s="65"/>
      <c r="H75" s="65"/>
      <c r="I75" s="66"/>
      <c r="J75" s="67"/>
      <c r="K75" s="68"/>
      <c r="L75" s="68"/>
      <c r="P75" s="69"/>
      <c r="Q75" s="47"/>
      <c r="R75" s="70"/>
    </row>
    <row r="76" spans="2:18" s="55" customFormat="1" ht="25.5" customHeight="1" x14ac:dyDescent="0.2">
      <c r="B76" s="73">
        <v>42172</v>
      </c>
      <c r="C76" s="359" t="s">
        <v>281</v>
      </c>
      <c r="D76" s="360"/>
      <c r="E76" s="361"/>
      <c r="F76" s="47"/>
      <c r="G76" s="65"/>
      <c r="H76" s="65"/>
      <c r="I76" s="66"/>
      <c r="J76" s="67"/>
      <c r="K76" s="68"/>
      <c r="L76" s="68"/>
      <c r="P76" s="69"/>
      <c r="Q76" s="47"/>
      <c r="R76" s="70"/>
    </row>
    <row r="77" spans="2:18" s="55" customFormat="1" ht="25.5" customHeight="1" x14ac:dyDescent="0.2">
      <c r="B77" s="73">
        <v>42151</v>
      </c>
      <c r="C77" s="359" t="s">
        <v>278</v>
      </c>
      <c r="D77" s="360"/>
      <c r="E77" s="361"/>
      <c r="F77" s="47"/>
      <c r="G77" s="65"/>
      <c r="H77" s="65"/>
      <c r="I77" s="66"/>
      <c r="J77" s="67"/>
      <c r="K77" s="68"/>
      <c r="L77" s="68"/>
      <c r="P77" s="69"/>
      <c r="Q77" s="47"/>
      <c r="R77" s="70"/>
    </row>
    <row r="78" spans="2:18" s="55" customFormat="1" ht="25.5" customHeight="1" x14ac:dyDescent="0.2">
      <c r="B78" s="73">
        <v>42145</v>
      </c>
      <c r="C78" s="359" t="s">
        <v>265</v>
      </c>
      <c r="D78" s="360"/>
      <c r="E78" s="361"/>
      <c r="F78" s="47"/>
      <c r="G78" s="65"/>
      <c r="H78" s="65"/>
      <c r="I78" s="66"/>
      <c r="J78" s="67"/>
      <c r="K78" s="68"/>
      <c r="L78" s="68"/>
      <c r="P78" s="69"/>
      <c r="Q78" s="47"/>
      <c r="R78" s="70"/>
    </row>
    <row r="79" spans="2:18" s="55" customFormat="1" x14ac:dyDescent="0.2">
      <c r="B79" s="73">
        <v>42135</v>
      </c>
      <c r="C79" s="359" t="s">
        <v>257</v>
      </c>
      <c r="D79" s="360"/>
      <c r="E79" s="361"/>
      <c r="F79" s="47"/>
      <c r="G79" s="65"/>
      <c r="H79" s="65"/>
      <c r="I79" s="66"/>
      <c r="J79" s="67"/>
      <c r="K79" s="68"/>
      <c r="L79" s="68"/>
      <c r="P79" s="69"/>
      <c r="Q79" s="47"/>
      <c r="R79" s="70"/>
    </row>
    <row r="80" spans="2:18" s="55" customFormat="1" ht="39.75" customHeight="1" x14ac:dyDescent="0.2">
      <c r="B80" s="73">
        <v>42132</v>
      </c>
      <c r="C80" s="359" t="s">
        <v>254</v>
      </c>
      <c r="D80" s="360"/>
      <c r="E80" s="361"/>
      <c r="F80" s="47"/>
      <c r="G80" s="65"/>
      <c r="H80" s="65"/>
      <c r="I80" s="66"/>
      <c r="J80" s="67"/>
      <c r="K80" s="68"/>
      <c r="L80" s="68"/>
      <c r="P80" s="69"/>
      <c r="Q80" s="47"/>
      <c r="R80" s="70"/>
    </row>
    <row r="81" spans="2:18" s="55" customFormat="1" ht="39" customHeight="1" x14ac:dyDescent="0.2">
      <c r="B81" s="73">
        <v>42129</v>
      </c>
      <c r="C81" s="359" t="s">
        <v>241</v>
      </c>
      <c r="D81" s="360"/>
      <c r="E81" s="361"/>
      <c r="F81" s="47"/>
      <c r="G81" s="65"/>
      <c r="H81" s="65"/>
      <c r="I81" s="66"/>
      <c r="J81" s="67"/>
      <c r="K81" s="68"/>
      <c r="L81" s="68"/>
      <c r="P81" s="69"/>
      <c r="Q81" s="47"/>
      <c r="R81" s="70"/>
    </row>
    <row r="82" spans="2:18" s="55" customFormat="1" ht="26.25" customHeight="1" x14ac:dyDescent="0.2">
      <c r="B82" s="73">
        <v>42124</v>
      </c>
      <c r="C82" s="359" t="s">
        <v>182</v>
      </c>
      <c r="D82" s="360"/>
      <c r="E82" s="361"/>
      <c r="F82" s="47"/>
      <c r="G82" s="65"/>
      <c r="H82" s="65"/>
      <c r="I82" s="66"/>
      <c r="J82" s="67"/>
      <c r="K82" s="68"/>
      <c r="L82" s="68"/>
      <c r="P82" s="69"/>
      <c r="Q82" s="47"/>
      <c r="R82" s="70"/>
    </row>
    <row r="83" spans="2:18" s="55" customFormat="1" ht="39.75" customHeight="1" x14ac:dyDescent="0.2">
      <c r="B83" s="73">
        <v>41885</v>
      </c>
      <c r="C83" s="359" t="s">
        <v>180</v>
      </c>
      <c r="D83" s="360"/>
      <c r="E83" s="361"/>
      <c r="F83" s="47"/>
      <c r="G83" s="65"/>
      <c r="H83" s="65"/>
      <c r="I83" s="66"/>
      <c r="J83" s="67"/>
      <c r="K83" s="68"/>
      <c r="L83" s="68"/>
      <c r="P83" s="69"/>
      <c r="Q83" s="47"/>
      <c r="R83" s="70"/>
    </row>
    <row r="84" spans="2:18" s="55" customFormat="1" ht="25.5" customHeight="1" x14ac:dyDescent="0.2">
      <c r="B84" s="73">
        <v>41792</v>
      </c>
      <c r="C84" s="359" t="s">
        <v>161</v>
      </c>
      <c r="D84" s="360"/>
      <c r="E84" s="361"/>
      <c r="F84" s="47"/>
      <c r="G84" s="65"/>
      <c r="H84" s="65"/>
      <c r="I84" s="66"/>
      <c r="J84" s="67"/>
      <c r="K84" s="68"/>
      <c r="L84" s="68"/>
      <c r="P84" s="69"/>
      <c r="Q84" s="47"/>
      <c r="R84" s="70"/>
    </row>
    <row r="85" spans="2:18" s="55" customFormat="1" ht="25.5" customHeight="1" x14ac:dyDescent="0.2">
      <c r="B85" s="73">
        <v>41752</v>
      </c>
      <c r="C85" s="359" t="s">
        <v>160</v>
      </c>
      <c r="D85" s="360"/>
      <c r="E85" s="361"/>
      <c r="F85" s="47"/>
      <c r="G85" s="65"/>
      <c r="H85" s="65"/>
      <c r="I85" s="66"/>
      <c r="J85" s="67"/>
      <c r="K85" s="68"/>
      <c r="L85" s="68"/>
      <c r="P85" s="69"/>
      <c r="Q85" s="47"/>
      <c r="R85" s="70"/>
    </row>
    <row r="86" spans="2:18" s="55" customFormat="1" ht="25.5" customHeight="1" x14ac:dyDescent="0.2">
      <c r="B86" s="73">
        <v>41725</v>
      </c>
      <c r="C86" s="359" t="s">
        <v>159</v>
      </c>
      <c r="D86" s="360"/>
      <c r="E86" s="361"/>
      <c r="F86" s="47"/>
      <c r="G86" s="65"/>
      <c r="H86" s="65"/>
      <c r="I86" s="66"/>
      <c r="J86" s="67"/>
      <c r="K86" s="68"/>
      <c r="L86" s="68"/>
      <c r="P86" s="69"/>
      <c r="Q86" s="47"/>
      <c r="R86" s="70"/>
    </row>
    <row r="87" spans="2:18" s="55" customFormat="1" ht="50.25" customHeight="1" x14ac:dyDescent="0.2">
      <c r="B87" s="73">
        <v>41681</v>
      </c>
      <c r="C87" s="359" t="s">
        <v>158</v>
      </c>
      <c r="D87" s="360"/>
      <c r="E87" s="361"/>
      <c r="F87" s="47"/>
      <c r="G87" s="65"/>
      <c r="H87" s="65"/>
      <c r="I87" s="66"/>
      <c r="J87" s="67"/>
      <c r="K87" s="68"/>
      <c r="L87" s="68"/>
      <c r="P87" s="69"/>
      <c r="Q87" s="47"/>
      <c r="R87" s="70"/>
    </row>
    <row r="88" spans="2:18" s="55" customFormat="1" ht="25.5" customHeight="1" x14ac:dyDescent="0.2">
      <c r="B88" s="73">
        <v>41587</v>
      </c>
      <c r="C88" s="359" t="s">
        <v>157</v>
      </c>
      <c r="D88" s="360"/>
      <c r="E88" s="361"/>
      <c r="F88" s="47"/>
      <c r="G88" s="65"/>
      <c r="H88" s="65"/>
      <c r="I88" s="66"/>
      <c r="J88" s="67"/>
      <c r="K88" s="68"/>
      <c r="L88" s="68"/>
      <c r="P88" s="69"/>
      <c r="Q88" s="47"/>
      <c r="R88" s="70"/>
    </row>
    <row r="89" spans="2:18" s="55" customFormat="1" ht="25.5" customHeight="1" x14ac:dyDescent="0.2">
      <c r="B89" s="73">
        <v>41586</v>
      </c>
      <c r="C89" s="359" t="s">
        <v>156</v>
      </c>
      <c r="D89" s="360"/>
      <c r="E89" s="361"/>
      <c r="F89" s="47"/>
      <c r="G89" s="65"/>
      <c r="H89" s="65"/>
      <c r="I89" s="66"/>
      <c r="J89" s="67"/>
      <c r="K89" s="68"/>
      <c r="L89" s="68"/>
      <c r="P89" s="69"/>
      <c r="Q89" s="47"/>
      <c r="R89" s="70"/>
    </row>
    <row r="90" spans="2:18" s="55" customFormat="1" ht="51" customHeight="1" x14ac:dyDescent="0.2">
      <c r="B90" s="73">
        <v>41578</v>
      </c>
      <c r="C90" s="359" t="s">
        <v>147</v>
      </c>
      <c r="D90" s="360"/>
      <c r="E90" s="361"/>
      <c r="F90" s="47"/>
      <c r="G90" s="65"/>
      <c r="H90" s="65"/>
      <c r="I90" s="66"/>
      <c r="J90" s="67"/>
      <c r="K90" s="68"/>
      <c r="L90" s="68"/>
      <c r="P90" s="69"/>
      <c r="Q90" s="47"/>
      <c r="R90" s="70"/>
    </row>
    <row r="91" spans="2:18" s="55" customFormat="1" ht="25.5" customHeight="1" x14ac:dyDescent="0.2">
      <c r="B91" s="73">
        <v>41577</v>
      </c>
      <c r="C91" s="359" t="s">
        <v>146</v>
      </c>
      <c r="D91" s="360"/>
      <c r="E91" s="361"/>
      <c r="F91" s="47"/>
      <c r="G91" s="65"/>
      <c r="H91" s="65"/>
      <c r="I91" s="66"/>
      <c r="J91" s="67"/>
      <c r="K91" s="68"/>
      <c r="L91" s="68"/>
      <c r="P91" s="69"/>
      <c r="Q91" s="47"/>
      <c r="R91" s="70"/>
    </row>
    <row r="92" spans="2:18" s="55" customFormat="1" ht="25.5" customHeight="1" x14ac:dyDescent="0.2">
      <c r="B92" s="73">
        <v>41550</v>
      </c>
      <c r="C92" s="359" t="s">
        <v>139</v>
      </c>
      <c r="D92" s="360"/>
      <c r="E92" s="361"/>
      <c r="F92" s="47"/>
      <c r="G92" s="65"/>
      <c r="H92" s="65"/>
      <c r="I92" s="66"/>
      <c r="J92" s="67"/>
      <c r="K92" s="68"/>
      <c r="L92" s="68"/>
      <c r="P92" s="69"/>
      <c r="Q92" s="47"/>
      <c r="R92" s="70"/>
    </row>
    <row r="93" spans="2:18" s="55" customFormat="1" ht="25.5" customHeight="1" x14ac:dyDescent="0.2">
      <c r="B93" s="73">
        <v>41537</v>
      </c>
      <c r="C93" s="359" t="s">
        <v>138</v>
      </c>
      <c r="D93" s="360"/>
      <c r="E93" s="361"/>
      <c r="F93" s="47"/>
      <c r="G93" s="65"/>
      <c r="H93" s="65"/>
      <c r="I93" s="66"/>
      <c r="J93" s="67"/>
      <c r="K93" s="68"/>
      <c r="L93" s="68"/>
      <c r="P93" s="69"/>
      <c r="Q93" s="47"/>
      <c r="R93" s="70"/>
    </row>
    <row r="94" spans="2:18" s="55" customFormat="1" ht="25.5" customHeight="1" x14ac:dyDescent="0.2">
      <c r="B94" s="73">
        <v>41536</v>
      </c>
      <c r="C94" s="359" t="s">
        <v>130</v>
      </c>
      <c r="D94" s="360"/>
      <c r="E94" s="361"/>
      <c r="F94" s="47"/>
      <c r="G94" s="65"/>
      <c r="H94" s="65"/>
      <c r="I94" s="66"/>
      <c r="J94" s="67"/>
      <c r="K94" s="68"/>
      <c r="L94" s="68"/>
      <c r="P94" s="69"/>
      <c r="Q94" s="47"/>
      <c r="R94" s="70"/>
    </row>
    <row r="95" spans="2:18" s="55" customFormat="1" ht="39" customHeight="1" x14ac:dyDescent="0.2">
      <c r="B95" s="73">
        <v>41534</v>
      </c>
      <c r="C95" s="359" t="s">
        <v>116</v>
      </c>
      <c r="D95" s="360"/>
      <c r="E95" s="361"/>
      <c r="F95" s="47"/>
      <c r="G95" s="65"/>
      <c r="H95" s="65"/>
      <c r="I95" s="66"/>
      <c r="J95" s="67"/>
      <c r="K95" s="68"/>
      <c r="L95" s="68"/>
      <c r="P95" s="69"/>
      <c r="Q95" s="47"/>
      <c r="R95" s="70"/>
    </row>
    <row r="96" spans="2:18" s="55" customFormat="1" ht="25.5" customHeight="1" x14ac:dyDescent="0.2">
      <c r="B96" s="73">
        <v>41529</v>
      </c>
      <c r="C96" s="359" t="s">
        <v>100</v>
      </c>
      <c r="D96" s="360"/>
      <c r="E96" s="361"/>
      <c r="F96" s="47"/>
      <c r="G96" s="65"/>
      <c r="H96" s="65"/>
      <c r="I96" s="66"/>
      <c r="J96" s="67"/>
      <c r="K96" s="68"/>
      <c r="L96" s="68"/>
      <c r="P96" s="69"/>
      <c r="Q96" s="47"/>
      <c r="R96" s="70"/>
    </row>
    <row r="97" spans="2:21" s="55" customFormat="1" ht="63.75" customHeight="1" x14ac:dyDescent="0.2">
      <c r="B97" s="73">
        <v>41507</v>
      </c>
      <c r="C97" s="359" t="s">
        <v>97</v>
      </c>
      <c r="D97" s="360"/>
      <c r="E97" s="361"/>
      <c r="F97" s="47"/>
      <c r="G97" s="65"/>
      <c r="H97" s="65"/>
      <c r="I97" s="66"/>
      <c r="J97" s="67"/>
      <c r="K97" s="68"/>
      <c r="L97" s="68"/>
      <c r="P97" s="69"/>
      <c r="Q97" s="47"/>
      <c r="R97" s="70"/>
    </row>
    <row r="98" spans="2:21" s="55" customFormat="1" x14ac:dyDescent="0.2">
      <c r="B98" s="73">
        <v>41467</v>
      </c>
      <c r="C98" s="360" t="s">
        <v>53</v>
      </c>
      <c r="D98" s="360"/>
      <c r="E98" s="361"/>
      <c r="F98" s="47"/>
      <c r="G98" s="65"/>
      <c r="H98" s="65"/>
      <c r="I98" s="66"/>
      <c r="J98" s="67"/>
      <c r="K98" s="68"/>
      <c r="L98" s="68"/>
      <c r="P98" s="69"/>
      <c r="Q98" s="47"/>
      <c r="R98" s="70"/>
    </row>
    <row r="99" spans="2:21" s="55" customFormat="1" x14ac:dyDescent="0.2">
      <c r="B99" s="73"/>
      <c r="C99" s="362"/>
      <c r="D99" s="362"/>
      <c r="E99" s="363"/>
      <c r="F99" s="47"/>
      <c r="G99" s="65"/>
      <c r="H99" s="65"/>
      <c r="I99" s="66"/>
      <c r="J99" s="67"/>
      <c r="K99" s="68"/>
      <c r="L99" s="68"/>
      <c r="P99" s="69"/>
      <c r="Q99" s="47"/>
      <c r="R99" s="70"/>
    </row>
    <row r="100" spans="2:21" s="55" customFormat="1" x14ac:dyDescent="0.2">
      <c r="B100" s="71"/>
      <c r="C100" s="63"/>
      <c r="D100" s="71"/>
      <c r="F100" s="47"/>
      <c r="G100" s="65"/>
      <c r="H100" s="65"/>
      <c r="I100" s="66"/>
      <c r="J100" s="67"/>
      <c r="K100" s="68"/>
      <c r="L100" s="68"/>
      <c r="P100" s="69"/>
      <c r="Q100" s="47"/>
      <c r="R100" s="70"/>
    </row>
    <row r="101" spans="2:21" s="55" customFormat="1" x14ac:dyDescent="0.2">
      <c r="B101" s="71"/>
      <c r="C101" s="63"/>
      <c r="D101" s="71"/>
      <c r="F101" s="47"/>
      <c r="G101" s="65"/>
      <c r="H101" s="65"/>
      <c r="I101" s="66"/>
      <c r="J101" s="67"/>
      <c r="K101" s="68"/>
      <c r="L101" s="68"/>
      <c r="P101" s="69"/>
      <c r="Q101" s="47"/>
      <c r="R101" s="70"/>
    </row>
    <row r="102" spans="2:21" s="55" customFormat="1" x14ac:dyDescent="0.2">
      <c r="B102" s="71"/>
      <c r="C102" s="63"/>
      <c r="D102" s="71"/>
      <c r="F102" s="47"/>
      <c r="G102" s="65"/>
      <c r="H102" s="65"/>
      <c r="I102" s="66"/>
      <c r="J102" s="67"/>
      <c r="K102" s="68"/>
      <c r="L102" s="68"/>
      <c r="P102" s="69"/>
      <c r="Q102" s="47"/>
      <c r="R102" s="70"/>
    </row>
    <row r="103" spans="2:21" s="55" customFormat="1" x14ac:dyDescent="0.2">
      <c r="B103" s="71"/>
      <c r="C103" s="63"/>
      <c r="D103" s="71"/>
      <c r="F103" s="47"/>
      <c r="G103" s="65"/>
      <c r="H103" s="65"/>
      <c r="I103" s="68"/>
      <c r="J103" s="74"/>
      <c r="K103" s="68"/>
      <c r="L103" s="68"/>
      <c r="P103" s="75"/>
      <c r="Q103" s="76"/>
      <c r="R103" s="77"/>
      <c r="S103" s="77"/>
      <c r="T103" s="77"/>
      <c r="U103" s="77"/>
    </row>
    <row r="104" spans="2:21" x14ac:dyDescent="0.2">
      <c r="B104" s="78"/>
      <c r="D104" s="79"/>
    </row>
    <row r="105" spans="2:21" x14ac:dyDescent="0.2">
      <c r="B105" s="78"/>
      <c r="D105" s="79"/>
    </row>
  </sheetData>
  <mergeCells count="86">
    <mergeCell ref="C35:E35"/>
    <mergeCell ref="C36:E36"/>
    <mergeCell ref="C37:E37"/>
    <mergeCell ref="C39:E39"/>
    <mergeCell ref="C50:E50"/>
    <mergeCell ref="C51:E51"/>
    <mergeCell ref="C27:E27"/>
    <mergeCell ref="C59:E59"/>
    <mergeCell ref="C28:E28"/>
    <mergeCell ref="C29:E29"/>
    <mergeCell ref="C31:E31"/>
    <mergeCell ref="C32:E32"/>
    <mergeCell ref="C33:E33"/>
    <mergeCell ref="C52:E52"/>
    <mergeCell ref="C34:E34"/>
    <mergeCell ref="C38:E38"/>
    <mergeCell ref="C49:E49"/>
    <mergeCell ref="C40:E40"/>
    <mergeCell ref="C41:E41"/>
    <mergeCell ref="C53:E53"/>
    <mergeCell ref="C54:E54"/>
    <mergeCell ref="C56:E56"/>
    <mergeCell ref="C57:E57"/>
    <mergeCell ref="C58:E58"/>
    <mergeCell ref="C55:E55"/>
    <mergeCell ref="C71:E71"/>
    <mergeCell ref="C73:E73"/>
    <mergeCell ref="C72:E72"/>
    <mergeCell ref="C60:E60"/>
    <mergeCell ref="C66:E66"/>
    <mergeCell ref="C67:E67"/>
    <mergeCell ref="C68:E68"/>
    <mergeCell ref="C63:E63"/>
    <mergeCell ref="C65:E65"/>
    <mergeCell ref="C64:E64"/>
    <mergeCell ref="C69:E69"/>
    <mergeCell ref="C70:E70"/>
    <mergeCell ref="C76:E76"/>
    <mergeCell ref="E2:E6"/>
    <mergeCell ref="C26:E26"/>
    <mergeCell ref="C22:E22"/>
    <mergeCell ref="C23:E23"/>
    <mergeCell ref="C24:E24"/>
    <mergeCell ref="C25:E25"/>
    <mergeCell ref="B7:C8"/>
    <mergeCell ref="C13:E13"/>
    <mergeCell ref="C14:E14"/>
    <mergeCell ref="C19:E19"/>
    <mergeCell ref="C20:E20"/>
    <mergeCell ref="C15:E15"/>
    <mergeCell ref="C18:E18"/>
    <mergeCell ref="C16:E16"/>
    <mergeCell ref="C17:E17"/>
    <mergeCell ref="C77:E77"/>
    <mergeCell ref="C61:E61"/>
    <mergeCell ref="C99:E99"/>
    <mergeCell ref="C74:E74"/>
    <mergeCell ref="C95:E95"/>
    <mergeCell ref="C96:E96"/>
    <mergeCell ref="C97:E97"/>
    <mergeCell ref="C98:E98"/>
    <mergeCell ref="C92:E92"/>
    <mergeCell ref="C93:E93"/>
    <mergeCell ref="C94:E94"/>
    <mergeCell ref="C85:E85"/>
    <mergeCell ref="C89:E89"/>
    <mergeCell ref="C78:E78"/>
    <mergeCell ref="C75:E75"/>
    <mergeCell ref="C91:E91"/>
    <mergeCell ref="C90:E90"/>
    <mergeCell ref="C88:E88"/>
    <mergeCell ref="C79:E79"/>
    <mergeCell ref="C83:E83"/>
    <mergeCell ref="C84:E84"/>
    <mergeCell ref="C80:E80"/>
    <mergeCell ref="C81:E81"/>
    <mergeCell ref="C82:E82"/>
    <mergeCell ref="C86:E86"/>
    <mergeCell ref="C87:E87"/>
    <mergeCell ref="C45:E45"/>
    <mergeCell ref="C42:E42"/>
    <mergeCell ref="C46:E46"/>
    <mergeCell ref="C47:E47"/>
    <mergeCell ref="C48:E48"/>
    <mergeCell ref="C44:E44"/>
    <mergeCell ref="C43:E43"/>
  </mergeCells>
  <pageMargins left="0.5" right="0.25" top="0.5" bottom="0.5" header="0.5" footer="0.25"/>
  <pageSetup paperSize="17" orientation="landscape" r:id="rId1"/>
  <headerFooter alignWithMargins="0">
    <oddFooter>&amp;L&amp;F&amp;C&amp;A&amp;R&amp;P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N18"/>
  <sheetViews>
    <sheetView showGridLines="0" zoomScaleNormal="100" zoomScalePageLayoutView="55" workbookViewId="0">
      <pane xSplit="2" ySplit="6" topLeftCell="C7" activePane="bottomRight" state="frozen"/>
      <selection pane="topRight" activeCell="C1" sqref="C1"/>
      <selection pane="bottomLeft" activeCell="A7" sqref="A7"/>
      <selection pane="bottomRight" activeCell="C7" sqref="C7"/>
    </sheetView>
  </sheetViews>
  <sheetFormatPr defaultRowHeight="15" x14ac:dyDescent="0.25"/>
  <cols>
    <col min="1" max="1" width="1.7109375" style="8" customWidth="1"/>
    <col min="2" max="2" width="45.42578125" customWidth="1"/>
    <col min="3" max="8" width="9.42578125" customWidth="1"/>
    <col min="9" max="9" width="47.5703125" customWidth="1"/>
    <col min="10" max="10" width="20.85546875" style="4" customWidth="1"/>
    <col min="11" max="11" width="10" hidden="1" customWidth="1"/>
    <col min="12" max="12" width="23.7109375" hidden="1" customWidth="1"/>
    <col min="13" max="13" width="33.85546875" hidden="1" customWidth="1"/>
    <col min="14" max="14" width="0" hidden="1" customWidth="1"/>
  </cols>
  <sheetData>
    <row r="2" spans="1:14" ht="18.75" x14ac:dyDescent="0.3">
      <c r="B2" s="80" t="s">
        <v>76</v>
      </c>
      <c r="C2" s="81"/>
      <c r="D2" s="81"/>
      <c r="E2" s="81"/>
      <c r="F2" s="81"/>
      <c r="G2" s="82" t="str">
        <f>'1.  Intro, Defs, Change Log'!D3</f>
        <v>LCA-10147-G</v>
      </c>
      <c r="H2" s="83"/>
      <c r="I2" s="84" t="s">
        <v>434</v>
      </c>
      <c r="J2" s="85">
        <f>MAX('1.  Intro, Defs, Change Log'!$B:$B:'1.  Intro, Defs, Change Log'!$B:$B)</f>
        <v>43249</v>
      </c>
    </row>
    <row r="3" spans="1:14" x14ac:dyDescent="0.25">
      <c r="B3" s="86"/>
      <c r="C3" s="87"/>
      <c r="D3" s="87"/>
      <c r="E3" s="87"/>
      <c r="F3" s="87"/>
      <c r="G3" s="87"/>
      <c r="H3" s="87"/>
      <c r="I3" s="88" t="s">
        <v>15</v>
      </c>
      <c r="J3" s="89">
        <f ca="1">NOW()</f>
        <v>43249.318045486114</v>
      </c>
    </row>
    <row r="4" spans="1:14" x14ac:dyDescent="0.25">
      <c r="B4" s="7"/>
    </row>
    <row r="5" spans="1:14" x14ac:dyDescent="0.25">
      <c r="B5" s="140"/>
      <c r="C5" s="137"/>
      <c r="D5" s="138" t="s">
        <v>58</v>
      </c>
      <c r="E5" s="139"/>
      <c r="F5" s="137"/>
      <c r="G5" s="138" t="s">
        <v>59</v>
      </c>
      <c r="H5" s="139"/>
      <c r="I5" s="142"/>
      <c r="J5" s="142"/>
    </row>
    <row r="6" spans="1:14" ht="45" x14ac:dyDescent="0.25">
      <c r="A6" s="166"/>
      <c r="B6" s="141" t="s">
        <v>4</v>
      </c>
      <c r="C6" s="114" t="s">
        <v>1</v>
      </c>
      <c r="D6" s="114" t="s">
        <v>64</v>
      </c>
      <c r="E6" s="114" t="s">
        <v>65</v>
      </c>
      <c r="F6" s="114" t="s">
        <v>1</v>
      </c>
      <c r="G6" s="114" t="s">
        <v>64</v>
      </c>
      <c r="H6" s="114" t="s">
        <v>65</v>
      </c>
      <c r="I6" s="143" t="s">
        <v>23</v>
      </c>
      <c r="J6" s="143" t="s">
        <v>235</v>
      </c>
      <c r="M6" s="239" t="s">
        <v>350</v>
      </c>
    </row>
    <row r="7" spans="1:14" ht="30" x14ac:dyDescent="0.25">
      <c r="B7" s="10" t="str">
        <f>'3. Ass''y, Alignment Stack-ups'!C10</f>
        <v>L3 lens optical axis position/orientation off L3 flange interface features</v>
      </c>
      <c r="C7" s="3">
        <f>'3. Ass''y, Alignment Stack-ups'!G10</f>
        <v>9.6566039579139826E-2</v>
      </c>
      <c r="D7" s="3">
        <f>'3. Ass''y, Alignment Stack-ups'!H10</f>
        <v>61.032778078668514</v>
      </c>
      <c r="E7" s="3">
        <f>'3. Ass''y, Alignment Stack-ups'!I10</f>
        <v>87.321245982864909</v>
      </c>
      <c r="F7" s="3">
        <f>'3. Ass''y, Alignment Stack-ups'!G11</f>
        <v>0.125</v>
      </c>
      <c r="G7" s="3">
        <f>'3. Ass''y, Alignment Stack-ups'!H11</f>
        <v>85</v>
      </c>
      <c r="H7" s="3">
        <f>'3. Ass''y, Alignment Stack-ups'!I11</f>
        <v>115</v>
      </c>
      <c r="I7" s="10" t="str">
        <f>'3. Ass''y, Alignment Stack-ups'!N7</f>
        <v>Source of Optics interface tolerance req</v>
      </c>
      <c r="J7" s="10" t="str">
        <f>'3. Ass''y, Alignment Stack-ups'!P7</f>
        <v>Export to Optics Spec</v>
      </c>
    </row>
    <row r="8" spans="1:14" ht="30" x14ac:dyDescent="0.25">
      <c r="B8" s="10" t="str">
        <f>'3. Ass''y, Alignment Stack-ups'!C17</f>
        <v>K-C interface ball plane position off L3 flange interface features</v>
      </c>
      <c r="C8" s="3">
        <f>'3. Ass''y, Alignment Stack-ups'!G17</f>
        <v>6.7318738104631751E-2</v>
      </c>
      <c r="D8" s="3">
        <f>'3. Ass''y, Alignment Stack-ups'!H17</f>
        <v>26.927495241852704</v>
      </c>
      <c r="E8" s="3">
        <f>'3. Ass''y, Alignment Stack-ups'!I17</f>
        <v>412.31056256176606</v>
      </c>
      <c r="F8" s="3">
        <f>'3. Ass''y, Alignment Stack-ups'!G18</f>
        <v>8.8249999999999995E-2</v>
      </c>
      <c r="G8" s="3">
        <f>'3. Ass''y, Alignment Stack-ups'!H18</f>
        <v>35.299999999999997</v>
      </c>
      <c r="H8" s="3">
        <f>'3. Ass''y, Alignment Stack-ups'!I18</f>
        <v>500</v>
      </c>
      <c r="I8" s="10" t="str">
        <f>'3. Ass''y, Alignment Stack-ups'!N13</f>
        <v>Source of Cryostat interface tolerance req</v>
      </c>
      <c r="J8" s="10" t="str">
        <f>'3. Ass''y, Alignment Stack-ups'!P13</f>
        <v>Export to Cryostat Spec</v>
      </c>
    </row>
    <row r="9" spans="1:14" ht="30" x14ac:dyDescent="0.25">
      <c r="B9" s="10" t="str">
        <f>'3. Ass''y, Alignment Stack-ups'!C24</f>
        <v>L3 lens interface position/orientation off cryostat back flange</v>
      </c>
      <c r="C9" s="3">
        <f>'3. Ass''y, Alignment Stack-ups'!G24</f>
        <v>9.7609480751916278E-2</v>
      </c>
      <c r="D9" s="3">
        <f>'3. Ass''y, Alignment Stack-ups'!H24</f>
        <v>48.218253804964775</v>
      </c>
      <c r="E9" s="3">
        <f>'3. Ass''y, Alignment Stack-ups'!I24</f>
        <v>100.4987562112089</v>
      </c>
      <c r="F9" s="3">
        <f>'3. Ass''y, Alignment Stack-ups'!G25</f>
        <v>0.14990601503759399</v>
      </c>
      <c r="G9" s="3">
        <f>'3. Ass''y, Alignment Stack-ups'!H25</f>
        <v>75</v>
      </c>
      <c r="H9" s="3">
        <f>'3. Ass''y, Alignment Stack-ups'!I25</f>
        <v>110</v>
      </c>
      <c r="I9" s="10" t="str">
        <f>'3. Ass''y, Alignment Stack-ups'!N20</f>
        <v>Source of Cryostat interface tolerance req</v>
      </c>
      <c r="J9" s="10" t="str">
        <f>'3. Ass''y, Alignment Stack-ups'!P20</f>
        <v>Export to Cryostat Spec</v>
      </c>
    </row>
    <row r="10" spans="1:14" ht="45" x14ac:dyDescent="0.25">
      <c r="B10" s="1" t="str">
        <f>'3. Ass''y, Alignment Stack-ups'!C70</f>
        <v>L3 lens optical axis position/orientation with respect to the best-fit detector plane</v>
      </c>
      <c r="C10" s="3">
        <f>'3. Ass''y, Alignment Stack-ups'!G70</f>
        <v>0.13065262683502374</v>
      </c>
      <c r="D10" s="2">
        <f>'3. Ass''y, Alignment Stack-ups'!H70</f>
        <v>86.313903862587523</v>
      </c>
      <c r="E10" s="2">
        <f>'3. Ass''y, Alignment Stack-ups'!I70</f>
        <v>0</v>
      </c>
      <c r="F10" s="3">
        <f>'3. Ass''y, Alignment Stack-ups'!G71</f>
        <v>0.28693421052631574</v>
      </c>
      <c r="G10" s="2">
        <f>'3. Ass''y, Alignment Stack-ups'!H71</f>
        <v>200.3</v>
      </c>
      <c r="H10" s="2">
        <f>'3. Ass''y, Alignment Stack-ups'!I71</f>
        <v>0</v>
      </c>
      <c r="I10" s="1" t="str">
        <f>'3. Ass''y, Alignment Stack-ups'!N60</f>
        <v>Since L3 cannot be re-positioned, this defines the as-built wedge and piston tolerances of the L3 lens wrt the detector plane/best-fit optical axis</v>
      </c>
      <c r="J10" s="1" t="str">
        <f>'3. Ass''y, Alignment Stack-ups'!P60</f>
        <v>Export to LCA-00017 IQ Error Budget</v>
      </c>
      <c r="K10" t="s">
        <v>282</v>
      </c>
    </row>
    <row r="11" spans="1:14" ht="45" x14ac:dyDescent="0.25">
      <c r="B11" s="1" t="str">
        <f>'3. Ass''y, Alignment Stack-ups'!C76</f>
        <v>Camera Best-Fit Optical Axis position and attitude with respect to the back flange</v>
      </c>
      <c r="C11" s="3">
        <f>'3. Ass''y, Alignment Stack-ups'!G76</f>
        <v>0.14159057398634639</v>
      </c>
      <c r="D11" s="149">
        <f>'3. Ass''y, Alignment Stack-ups'!H76</f>
        <v>82.765270494332341</v>
      </c>
      <c r="E11" s="149">
        <f>'3. Ass''y, Alignment Stack-ups'!I76</f>
        <v>205.06096654409879</v>
      </c>
      <c r="F11" s="3">
        <f>'3. Ass''y, Alignment Stack-ups'!G77</f>
        <v>0.35168984962406014</v>
      </c>
      <c r="G11" s="2">
        <f>'3. Ass''y, Alignment Stack-ups'!H77</f>
        <v>230.3</v>
      </c>
      <c r="H11" s="2">
        <f>'3. Ass''y, Alignment Stack-ups'!I77</f>
        <v>520</v>
      </c>
      <c r="I11" s="1" t="str">
        <f>'3. Ass''y, Alignment Stack-ups'!N73</f>
        <v>Demonstrates compliance with LSE-80 interface req; contributes to hexapod range of motion</v>
      </c>
      <c r="J11" s="1" t="str">
        <f>'3. Ass''y, Alignment Stack-ups'!P73</f>
        <v>Required as a deliverable in LSE-80</v>
      </c>
      <c r="M11" s="240" t="s">
        <v>351</v>
      </c>
      <c r="N11" s="8" t="s">
        <v>357</v>
      </c>
    </row>
    <row r="12" spans="1:14" ht="30" x14ac:dyDescent="0.25">
      <c r="B12" s="1" t="str">
        <f>'3. Ass''y, Alignment Stack-ups'!C87</f>
        <v>Camera Best-Fit Optical Axis knowledge with respect to the world</v>
      </c>
      <c r="C12" s="3">
        <f>'3. Ass''y, Alignment Stack-ups'!G87</f>
        <v>0.11473386116963015</v>
      </c>
      <c r="D12" s="149">
        <f>'3. Ass''y, Alignment Stack-ups'!H87</f>
        <v>80.156659112016385</v>
      </c>
      <c r="E12" s="149">
        <f>'3. Ass''y, Alignment Stack-ups'!I87</f>
        <v>101.11874208078342</v>
      </c>
      <c r="F12" s="3">
        <f>'3. Ass''y, Alignment Stack-ups'!G88</f>
        <v>0.22443421052631579</v>
      </c>
      <c r="G12" s="2">
        <f>'3. Ass''y, Alignment Stack-ups'!H88</f>
        <v>155.30000000000001</v>
      </c>
      <c r="H12" s="2">
        <f>'3. Ass''y, Alignment Stack-ups'!I88</f>
        <v>175</v>
      </c>
      <c r="I12" s="1" t="str">
        <f>'3. Ass''y, Alignment Stack-ups'!N79</f>
        <v>Knowledge of Camera Best-Fit Optical Axis with respect to global survey coordinates</v>
      </c>
      <c r="J12" s="1" t="str">
        <f>'3. Ass''y, Alignment Stack-ups'!P79</f>
        <v>Export to LCA-00017 IQ Error Budget</v>
      </c>
      <c r="K12" t="s">
        <v>283</v>
      </c>
    </row>
    <row r="13" spans="1:14" ht="30" x14ac:dyDescent="0.25">
      <c r="B13" s="1" t="str">
        <f>'3. Ass''y, Alignment Stack-ups'!C96</f>
        <v>Detector plane flatness/profile with respect to the best-fit detector plane</v>
      </c>
      <c r="C13" s="3">
        <f>'3. Ass''y, Alignment Stack-ups'!G96</f>
        <v>7.5000000000000002E-4</v>
      </c>
      <c r="D13" s="149">
        <f>'3. Ass''y, Alignment Stack-ups'!H96</f>
        <v>11.00409014866745</v>
      </c>
      <c r="E13" s="149">
        <f>'3. Ass''y, Alignment Stack-ups'!I96</f>
        <v>2</v>
      </c>
      <c r="F13" s="3">
        <f>'3. Ass''y, Alignment Stack-ups'!G97</f>
        <v>7.5000000000000002E-4</v>
      </c>
      <c r="G13" s="2">
        <f>'3. Ass''y, Alignment Stack-ups'!H97</f>
        <v>17.3</v>
      </c>
      <c r="H13" s="2">
        <f>'3. Ass''y, Alignment Stack-ups'!I97</f>
        <v>2</v>
      </c>
      <c r="I13" s="1" t="str">
        <f>'3. Ass''y, Alignment Stack-ups'!N90</f>
        <v>RMS flatness of the detector plane wrt the best-fit plane</v>
      </c>
      <c r="J13" s="1" t="str">
        <f>'3. Ass''y, Alignment Stack-ups'!P90</f>
        <v>Export to LCA-00017 IQ Error Budget</v>
      </c>
    </row>
    <row r="14" spans="1:14" ht="45" x14ac:dyDescent="0.25">
      <c r="B14" s="1" t="str">
        <f>'3. Ass''y, Alignment Stack-ups'!C104</f>
        <v>Knowledge of the L2 optical axis with respect to the Camera Best-Fit Optical Axis</v>
      </c>
      <c r="C14" s="3">
        <f>'3. Ass''y, Alignment Stack-ups'!G104</f>
        <v>4.8166378315169185E-2</v>
      </c>
      <c r="D14" s="149">
        <f>'3. Ass''y, Alignment Stack-ups'!H104</f>
        <v>53.150729063673246</v>
      </c>
      <c r="E14" s="149">
        <f>'3. Ass''y, Alignment Stack-ups'!I104</f>
        <v>53.150729063673246</v>
      </c>
      <c r="F14" s="3">
        <f>'3. Ass''y, Alignment Stack-ups'!G105</f>
        <v>6.8000000000000005E-2</v>
      </c>
      <c r="G14" s="2">
        <f>'3. Ass''y, Alignment Stack-ups'!H105</f>
        <v>75</v>
      </c>
      <c r="H14" s="2">
        <f>'3. Ass''y, Alignment Stack-ups'!I113</f>
        <v>256</v>
      </c>
      <c r="I14" s="1" t="str">
        <f>'3. Ass''y, Alignment Stack-ups'!N100</f>
        <v>Knowledge of L2 figure position wrt Camera Best-Fit Optical Axis</v>
      </c>
      <c r="J14" s="1" t="str">
        <f>'3. Ass''y, Alignment Stack-ups'!P100</f>
        <v>Export to LCA-00017 IQ Error Budget; export to Optics Spec</v>
      </c>
      <c r="K14" t="s">
        <v>285</v>
      </c>
    </row>
    <row r="15" spans="1:14" ht="45" x14ac:dyDescent="0.25">
      <c r="B15" s="1" t="str">
        <f>'3. Ass''y, Alignment Stack-ups'!C112</f>
        <v>Position of the L1 lens with respect to the L2 optical axis</v>
      </c>
      <c r="C15" s="3">
        <f>'3. Ass''y, Alignment Stack-ups'!G112</f>
        <v>0.11539172413999195</v>
      </c>
      <c r="D15" s="150">
        <f>'3. Ass''y, Alignment Stack-ups'!H112</f>
        <v>154.06492138056606</v>
      </c>
      <c r="E15" s="150">
        <f>'3. Ass''y, Alignment Stack-ups'!I112</f>
        <v>154.06492138056606</v>
      </c>
      <c r="F15" s="3">
        <f>'3. Ass''y, Alignment Stack-ups'!G113</f>
        <v>0.19950000000000001</v>
      </c>
      <c r="G15" s="3">
        <f>'3. Ass''y, Alignment Stack-ups'!H113</f>
        <v>256</v>
      </c>
      <c r="H15" s="3">
        <f>'3. Ass''y, Alignment Stack-ups'!I113</f>
        <v>256</v>
      </c>
      <c r="I15" s="1" t="str">
        <f>'3. Ass''y, Alignment Stack-ups'!N107</f>
        <v>Placement and measurement precision of L1 wrt L2</v>
      </c>
      <c r="J15" s="1" t="str">
        <f>'3. Ass''y, Alignment Stack-ups'!P107</f>
        <v>Export to LCA-00017 IQ Error Budget; export to Optics Spec</v>
      </c>
      <c r="K15" t="s">
        <v>286</v>
      </c>
    </row>
    <row r="16" spans="1:14" ht="30" x14ac:dyDescent="0.25">
      <c r="B16" s="1" t="str">
        <f>'3. Ass''y, Alignment Stack-ups'!C120</f>
        <v>Position of the aligned L1-L2 lens pair optical axis with respect to the Camera Best-Fit Optical Axis</v>
      </c>
      <c r="C16" s="3">
        <f>'3. Ass''y, Alignment Stack-ups'!G120</f>
        <v>7.6546554461974309E-2</v>
      </c>
      <c r="D16" s="149">
        <f>'3. Ass''y, Alignment Stack-ups'!H120</f>
        <v>61.237243569579455</v>
      </c>
      <c r="E16" s="149">
        <f>'3. Ass''y, Alignment Stack-ups'!I120</f>
        <v>61.237243569579455</v>
      </c>
      <c r="F16" s="3">
        <f>'3. Ass''y, Alignment Stack-ups'!G121</f>
        <v>0.125</v>
      </c>
      <c r="G16" s="2">
        <f>'3. Ass''y, Alignment Stack-ups'!H121</f>
        <v>100</v>
      </c>
      <c r="H16" s="2">
        <f>'3. Ass''y, Alignment Stack-ups'!I121</f>
        <v>100</v>
      </c>
      <c r="I16" s="1" t="str">
        <f>'3. Ass''y, Alignment Stack-ups'!N115</f>
        <v>Placement and measurement precision during optical alignment</v>
      </c>
      <c r="J16" s="1" t="str">
        <f>'3. Ass''y, Alignment Stack-ups'!P115</f>
        <v>Export to LCA-00017 IQ Error Budget</v>
      </c>
      <c r="K16" t="s">
        <v>287</v>
      </c>
    </row>
    <row r="17" spans="1:14" ht="60" x14ac:dyDescent="0.25">
      <c r="B17" s="1" t="str">
        <f>'3. Ass''y, Alignment Stack-ups'!C143</f>
        <v>Uncorrected position of Filter with respect to the Camera Best-Fit Optical Axis</v>
      </c>
      <c r="C17" s="3">
        <f>'3. Ass''y, Alignment Stack-ups'!G143</f>
        <v>0.46857738168423324</v>
      </c>
      <c r="D17" s="149">
        <f>'3. Ass''y, Alignment Stack-ups'!H143</f>
        <v>406.38662625632747</v>
      </c>
      <c r="E17" s="149">
        <f>'3. Ass''y, Alignment Stack-ups'!I143</f>
        <v>482.85608622031469</v>
      </c>
      <c r="F17" s="3">
        <f>'3. Ass''y, Alignment Stack-ups'!G144</f>
        <v>1.654758955315117</v>
      </c>
      <c r="G17" s="2">
        <f>'3. Ass''y, Alignment Stack-ups'!H144</f>
        <v>1260.3</v>
      </c>
      <c r="H17" s="2">
        <f>'3. Ass''y, Alignment Stack-ups'!I144</f>
        <v>1530</v>
      </c>
      <c r="I17" s="1" t="str">
        <f>'3. Ass''y, Alignment Stack-ups'!N130</f>
        <v>Sets req'd adjustment capability of the auto changer filter mount points</v>
      </c>
      <c r="J17" s="1" t="str">
        <f>'3. Ass''y, Alignment Stack-ups'!P130</f>
        <v>Export to Exchange System Spec</v>
      </c>
      <c r="M17" s="240" t="s">
        <v>352</v>
      </c>
      <c r="N17" s="8" t="s">
        <v>357</v>
      </c>
    </row>
    <row r="18" spans="1:14" ht="45" x14ac:dyDescent="0.25">
      <c r="A18" s="165"/>
      <c r="B18" s="1" t="str">
        <f>'3. Ass''y, Alignment Stack-ups'!C155</f>
        <v>Position of the aligned Filter optical axis with respect to the Camera Best-Fit Optical Axis</v>
      </c>
      <c r="C18" s="3">
        <f>'3. Ass''y, Alignment Stack-ups'!G155</f>
        <v>0.43435720040057374</v>
      </c>
      <c r="D18" s="149">
        <f>'3. Ass''y, Alignment Stack-ups'!H155</f>
        <v>214.00934559032697</v>
      </c>
      <c r="E18" s="149">
        <f>'3. Ass''y, Alignment Stack-ups'!I155</f>
        <v>196.468827043885</v>
      </c>
      <c r="F18" s="3">
        <f>'3. Ass''y, Alignment Stack-ups'!G156</f>
        <v>1.1572357723577236</v>
      </c>
      <c r="G18" s="2">
        <f>'3. Ass''y, Alignment Stack-ups'!H156</f>
        <v>580</v>
      </c>
      <c r="H18" s="2">
        <f>'3. Ass''y, Alignment Stack-ups'!I156</f>
        <v>460</v>
      </c>
      <c r="I18" s="1" t="str">
        <f>'3. Ass''y, Alignment Stack-ups'!N146</f>
        <v>Placement and measurement precision after Filter alignment to Camera Best-Fit Optical Axis</v>
      </c>
      <c r="J18" s="1" t="str">
        <f>'3. Ass''y, Alignment Stack-ups'!P146</f>
        <v>Export to LCA-00017 IQ Error Budget</v>
      </c>
      <c r="K18" t="s">
        <v>284</v>
      </c>
      <c r="M18" s="240" t="s">
        <v>353</v>
      </c>
      <c r="N18" s="8" t="s">
        <v>357</v>
      </c>
    </row>
  </sheetData>
  <pageMargins left="0.5" right="0.25" top="0.5" bottom="0.5" header="0.3" footer="0.25"/>
  <pageSetup paperSize="17" orientation="landscape" r:id="rId1"/>
  <headerFooter>
    <oddFooter>&amp;L&amp;F&amp;C&amp;A&amp;RPage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2:R183"/>
  <sheetViews>
    <sheetView showGridLines="0" zoomScale="90" zoomScaleNormal="90" zoomScalePageLayoutView="40" workbookViewId="0">
      <pane xSplit="3" ySplit="6" topLeftCell="D7" activePane="bottomRight" state="frozen"/>
      <selection pane="topRight" activeCell="D1" sqref="D1"/>
      <selection pane="bottomLeft" activeCell="A6" sqref="A6"/>
      <selection pane="bottomRight" activeCell="J9" sqref="J9"/>
    </sheetView>
  </sheetViews>
  <sheetFormatPr defaultRowHeight="15" outlineLevelRow="1" x14ac:dyDescent="0.25"/>
  <cols>
    <col min="1" max="1" width="12.140625" style="8" customWidth="1"/>
    <col min="2" max="3" width="41.85546875" customWidth="1"/>
    <col min="4" max="4" width="11.7109375" bestFit="1" customWidth="1"/>
    <col min="5" max="5" width="9.28515625" bestFit="1" customWidth="1"/>
    <col min="6" max="6" width="11.42578125" customWidth="1"/>
    <col min="7" max="7" width="7.85546875" bestFit="1" customWidth="1"/>
    <col min="8" max="11" width="9.42578125" bestFit="1" customWidth="1"/>
    <col min="12" max="12" width="5.85546875" bestFit="1" customWidth="1"/>
    <col min="13" max="13" width="5.85546875" customWidth="1"/>
    <col min="14" max="14" width="60" customWidth="1"/>
    <col min="15" max="15" width="1.7109375" customWidth="1"/>
    <col min="16" max="16" width="59.5703125" customWidth="1"/>
    <col min="17" max="17" width="18.7109375" style="4" customWidth="1"/>
    <col min="18" max="18" width="42.85546875" customWidth="1"/>
    <col min="19" max="19" width="9.140625" customWidth="1"/>
  </cols>
  <sheetData>
    <row r="2" spans="1:18" ht="18.75" x14ac:dyDescent="0.3">
      <c r="B2" s="80" t="s">
        <v>223</v>
      </c>
      <c r="C2" s="81"/>
      <c r="D2" s="81"/>
      <c r="E2" s="82" t="str">
        <f>'1.  Intro, Defs, Change Log'!D3</f>
        <v>LCA-10147-G</v>
      </c>
      <c r="F2" s="83"/>
      <c r="G2" s="81"/>
      <c r="H2" s="81"/>
      <c r="I2" s="81"/>
      <c r="J2" s="81"/>
      <c r="K2" s="81"/>
      <c r="L2" s="84"/>
      <c r="M2" s="84" t="s">
        <v>434</v>
      </c>
      <c r="N2" s="85">
        <f>MAX('1.  Intro, Defs, Change Log'!$B:$B:'1.  Intro, Defs, Change Log'!$B:$B)</f>
        <v>43249</v>
      </c>
    </row>
    <row r="3" spans="1:18" x14ac:dyDescent="0.25">
      <c r="B3" s="86"/>
      <c r="C3" s="87"/>
      <c r="D3" s="87"/>
      <c r="E3" s="87"/>
      <c r="F3" s="87"/>
      <c r="G3" s="87"/>
      <c r="H3" s="87"/>
      <c r="I3" s="87"/>
      <c r="J3" s="87"/>
      <c r="K3" s="87"/>
      <c r="L3" s="88"/>
      <c r="M3" s="88" t="s">
        <v>15</v>
      </c>
      <c r="N3" s="89">
        <f ca="1">NOW()</f>
        <v>43249.318045486114</v>
      </c>
    </row>
    <row r="4" spans="1:18" x14ac:dyDescent="0.25">
      <c r="B4" s="7"/>
    </row>
    <row r="5" spans="1:18" x14ac:dyDescent="0.25">
      <c r="B5" s="7"/>
      <c r="H5" s="348" t="s">
        <v>497</v>
      </c>
      <c r="I5" s="349"/>
      <c r="J5" s="350" t="s">
        <v>498</v>
      </c>
      <c r="K5" s="351"/>
      <c r="Q5"/>
      <c r="R5" s="4"/>
    </row>
    <row r="6" spans="1:18" ht="45" x14ac:dyDescent="0.25">
      <c r="A6" s="166" t="s">
        <v>136</v>
      </c>
      <c r="B6" s="90" t="s">
        <v>4</v>
      </c>
      <c r="C6" s="90" t="s">
        <v>5</v>
      </c>
      <c r="D6" s="114" t="s">
        <v>10</v>
      </c>
      <c r="E6" s="114" t="s">
        <v>0</v>
      </c>
      <c r="F6" s="114" t="s">
        <v>33</v>
      </c>
      <c r="G6" s="114" t="s">
        <v>1</v>
      </c>
      <c r="H6" s="329" t="s">
        <v>64</v>
      </c>
      <c r="I6" s="329" t="s">
        <v>65</v>
      </c>
      <c r="J6" s="352" t="s">
        <v>64</v>
      </c>
      <c r="K6" s="352" t="s">
        <v>65</v>
      </c>
      <c r="L6" s="114" t="s">
        <v>22</v>
      </c>
      <c r="M6" s="114" t="s">
        <v>85</v>
      </c>
      <c r="N6" s="114" t="s">
        <v>23</v>
      </c>
      <c r="P6" s="152" t="s">
        <v>101</v>
      </c>
      <c r="Q6" s="183" t="s">
        <v>222</v>
      </c>
      <c r="R6" s="238" t="s">
        <v>333</v>
      </c>
    </row>
    <row r="7" spans="1:18" x14ac:dyDescent="0.25">
      <c r="B7" s="93" t="s">
        <v>151</v>
      </c>
      <c r="C7" s="94"/>
      <c r="D7" s="13"/>
      <c r="E7" s="13"/>
      <c r="F7" s="13"/>
      <c r="G7" s="13"/>
      <c r="H7" s="13"/>
      <c r="I7" s="13"/>
      <c r="J7" s="13"/>
      <c r="K7" s="13"/>
      <c r="L7" s="94"/>
      <c r="M7" s="94"/>
      <c r="N7" s="95" t="s">
        <v>230</v>
      </c>
      <c r="P7" s="4" t="s">
        <v>232</v>
      </c>
    </row>
    <row r="8" spans="1:18" ht="45" outlineLevel="1" x14ac:dyDescent="0.25">
      <c r="A8" s="189">
        <v>42391</v>
      </c>
      <c r="B8" s="1" t="str">
        <f>'4. Constituent Tolerances'!B42</f>
        <v>L3 optical axis</v>
      </c>
      <c r="C8" s="1" t="str">
        <f>'4. Constituent Tolerances'!C42</f>
        <v>L3 flange interface datum features</v>
      </c>
      <c r="D8" s="2">
        <f>'4. Constituent Tolerances'!D42</f>
        <v>0</v>
      </c>
      <c r="E8" s="2">
        <f>'4. Constituent Tolerances'!E42</f>
        <v>950</v>
      </c>
      <c r="F8" s="2">
        <f>'4. Constituent Tolerances'!F42</f>
        <v>995</v>
      </c>
      <c r="G8" s="3">
        <f>'4. Constituent Tolerances'!G42</f>
        <v>0.09</v>
      </c>
      <c r="H8" s="2">
        <f>'4. Constituent Tolerances'!H42</f>
        <v>50</v>
      </c>
      <c r="I8" s="2">
        <f>'4. Constituent Tolerances'!I42</f>
        <v>80</v>
      </c>
      <c r="J8" s="2">
        <f>'4. Constituent Tolerances'!J42</f>
        <v>50</v>
      </c>
      <c r="K8" s="2">
        <f>'4. Constituent Tolerances'!K42</f>
        <v>80</v>
      </c>
      <c r="L8" s="9" t="str">
        <f>'4. Constituent Tolerances'!L42</f>
        <v>Opt</v>
      </c>
      <c r="M8" s="9" t="str">
        <f>'4. Constituent Tolerances'!M42</f>
        <v>M</v>
      </c>
      <c r="N8" s="1" t="str">
        <f>'4. Constituent Tolerances'!N42</f>
        <v>Accuracy of measuring and aligning the L3 optic in the flange, with respect to the flange interface features; includes all null test set-up and inspection tolerances, and flange fab tolerances</v>
      </c>
      <c r="P8" s="4"/>
      <c r="R8" s="186"/>
    </row>
    <row r="9" spans="1:18" ht="45" outlineLevel="1" x14ac:dyDescent="0.25">
      <c r="B9" s="1" t="str">
        <f>'4. Constituent Tolerances'!B43</f>
        <v>L3 flange interface datum features</v>
      </c>
      <c r="C9" s="1" t="str">
        <f>'4. Constituent Tolerances'!C43</f>
        <v>L3 flange SMR measurement precision, position stability</v>
      </c>
      <c r="D9" s="2">
        <f>'4. Constituent Tolerances'!D43</f>
        <v>0</v>
      </c>
      <c r="E9" s="2">
        <f>'4. Constituent Tolerances'!E43</f>
        <v>950</v>
      </c>
      <c r="F9" s="2">
        <f>'4. Constituent Tolerances'!F43</f>
        <v>995</v>
      </c>
      <c r="G9" s="3">
        <f>'4. Constituent Tolerances'!G43</f>
        <v>3.5000000000000003E-2</v>
      </c>
      <c r="H9" s="2">
        <f>'4. Constituent Tolerances'!H43</f>
        <v>35</v>
      </c>
      <c r="I9" s="2">
        <f>'4. Constituent Tolerances'!I43</f>
        <v>35</v>
      </c>
      <c r="J9" s="2">
        <f>'4. Constituent Tolerances'!J43</f>
        <v>35</v>
      </c>
      <c r="K9" s="2">
        <f>'4. Constituent Tolerances'!K43</f>
        <v>35</v>
      </c>
      <c r="L9" s="9" t="str">
        <f>'4. Constituent Tolerances'!L43</f>
        <v>Opt</v>
      </c>
      <c r="M9" s="9" t="str">
        <f>'4. Constituent Tolerances'!M43</f>
        <v>M</v>
      </c>
      <c r="N9" s="1" t="str">
        <f>'4. Constituent Tolerances'!N43</f>
        <v>Includes measurement precision of SMRs wrt L3 optical axis and stability/ reproducibility of SMR mounting and measurement off of L3 flange</v>
      </c>
      <c r="P9" s="4"/>
      <c r="R9" s="186"/>
    </row>
    <row r="10" spans="1:18" s="104" customFormat="1" ht="45.75" customHeight="1" x14ac:dyDescent="0.25">
      <c r="A10" s="189">
        <v>42391</v>
      </c>
      <c r="B10" s="154" t="s">
        <v>131</v>
      </c>
      <c r="C10" s="116" t="s">
        <v>151</v>
      </c>
      <c r="D10" s="118"/>
      <c r="E10" s="118"/>
      <c r="F10" s="118" t="s">
        <v>58</v>
      </c>
      <c r="G10" s="119">
        <f>SQRT(SUMSQ(G8:G9))</f>
        <v>9.6566039579139826E-2</v>
      </c>
      <c r="H10" s="118">
        <f>SQRT(SUMSQ(H8:H9))</f>
        <v>61.032778078668514</v>
      </c>
      <c r="I10" s="120">
        <f>SQRT(SUMSQ(I8:I9))</f>
        <v>87.321245982864909</v>
      </c>
      <c r="J10" s="118">
        <f>SQRT(SUMSQ(J8:J9))</f>
        <v>61.032778078668514</v>
      </c>
      <c r="K10" s="120">
        <f>SQRT(SUMSQ(K8:K9))</f>
        <v>87.321245982864909</v>
      </c>
      <c r="L10" s="91"/>
      <c r="M10" s="91"/>
      <c r="N10" s="92"/>
      <c r="P10" s="4" t="s">
        <v>238</v>
      </c>
      <c r="Q10" s="92"/>
      <c r="R10" s="186"/>
    </row>
    <row r="11" spans="1:18" s="104" customFormat="1" x14ac:dyDescent="0.25">
      <c r="A11" s="91"/>
      <c r="B11" s="92"/>
      <c r="C11" s="132"/>
      <c r="D11" s="123"/>
      <c r="E11" s="123"/>
      <c r="F11" s="123" t="s">
        <v>59</v>
      </c>
      <c r="G11" s="124">
        <f>SUM(G8:G9)</f>
        <v>0.125</v>
      </c>
      <c r="H11" s="123">
        <f>SUM(H8:H9)</f>
        <v>85</v>
      </c>
      <c r="I11" s="125">
        <f>SUM(I8:I9)</f>
        <v>115</v>
      </c>
      <c r="J11" s="123">
        <f>SUM(J8:J9)</f>
        <v>85</v>
      </c>
      <c r="K11" s="125">
        <f>SUM(K8:K9)</f>
        <v>115</v>
      </c>
      <c r="L11" s="91"/>
      <c r="M11" s="91"/>
      <c r="N11" s="92"/>
      <c r="P11" s="92"/>
      <c r="Q11" s="92"/>
      <c r="R11" s="186"/>
    </row>
    <row r="12" spans="1:18" x14ac:dyDescent="0.25">
      <c r="B12" s="92"/>
      <c r="C12" s="92"/>
      <c r="D12" s="102"/>
      <c r="E12" s="102"/>
      <c r="F12" s="102"/>
      <c r="G12" s="103"/>
      <c r="H12" s="102"/>
      <c r="I12" s="102"/>
      <c r="J12" s="102"/>
      <c r="K12" s="102"/>
      <c r="L12" s="91"/>
      <c r="M12" s="91"/>
      <c r="N12" s="92"/>
      <c r="P12" s="4"/>
      <c r="R12" s="186"/>
    </row>
    <row r="13" spans="1:18" x14ac:dyDescent="0.25">
      <c r="B13" s="93" t="s">
        <v>480</v>
      </c>
      <c r="C13" s="94"/>
      <c r="D13" s="13"/>
      <c r="E13" s="13"/>
      <c r="F13" s="13"/>
      <c r="G13" s="13"/>
      <c r="H13" s="13"/>
      <c r="I13" s="13"/>
      <c r="J13" s="13"/>
      <c r="K13" s="13"/>
      <c r="L13" s="94"/>
      <c r="M13" s="94"/>
      <c r="N13" s="95" t="s">
        <v>231</v>
      </c>
      <c r="P13" s="4" t="s">
        <v>233</v>
      </c>
      <c r="R13" s="343" t="s">
        <v>481</v>
      </c>
    </row>
    <row r="14" spans="1:18" ht="45" outlineLevel="1" x14ac:dyDescent="0.25">
      <c r="B14" s="1" t="str">
        <f>'4. Constituent Tolerances'!B21</f>
        <v>Grid K-C ball best-fit plane adjustment accuracy</v>
      </c>
      <c r="C14" s="1" t="str">
        <f>'4. Constituent Tolerances'!C21</f>
        <v>Cryostat front flange L3 mount features</v>
      </c>
      <c r="D14" s="2">
        <f>'4. Constituent Tolerances'!D21</f>
        <v>50</v>
      </c>
      <c r="E14" s="2">
        <f>'4. Constituent Tolerances'!E21</f>
        <v>800</v>
      </c>
      <c r="F14" s="2">
        <f>'4. Constituent Tolerances'!F21</f>
        <v>938</v>
      </c>
      <c r="G14" s="3">
        <f>'4. Constituent Tolerances'!G21</f>
        <v>6.25E-2</v>
      </c>
      <c r="H14" s="2">
        <f>'4. Constituent Tolerances'!H21</f>
        <v>25</v>
      </c>
      <c r="I14" s="2">
        <f>'4. Constituent Tolerances'!I21</f>
        <v>400</v>
      </c>
      <c r="J14" s="2">
        <f>'4. Constituent Tolerances'!J21</f>
        <v>25</v>
      </c>
      <c r="K14" s="2">
        <f>'4. Constituent Tolerances'!K21</f>
        <v>400</v>
      </c>
      <c r="L14" s="9" t="str">
        <f>'4. Constituent Tolerances'!L21</f>
        <v>Cryo</v>
      </c>
      <c r="M14" s="9" t="str">
        <f>'4. Constituent Tolerances'!M21</f>
        <v>P</v>
      </c>
      <c r="N14" s="1" t="str">
        <f>'4. Constituent Tolerances'!N21</f>
        <v>Accuracy with which the K-C best-fit plane can be moved to a pre-determined tip/tilt and Z location, by shimming flexure feet off the cryostat front flange</v>
      </c>
      <c r="P14" s="4"/>
    </row>
    <row r="15" spans="1:18" ht="30" outlineLevel="1" x14ac:dyDescent="0.25">
      <c r="A15" s="189">
        <v>42401</v>
      </c>
      <c r="B15" s="1" t="str">
        <f>'4. Constituent Tolerances'!B23</f>
        <v>Grid K-C ball best-fit plane</v>
      </c>
      <c r="C15" s="1" t="str">
        <f>'4. Constituent Tolerances'!C23</f>
        <v>Metrology precision and best-fit plane definition error of K-C ball plane</v>
      </c>
      <c r="D15" s="145">
        <f>'4. Constituent Tolerances'!D23</f>
        <v>0.6</v>
      </c>
      <c r="E15" s="2">
        <f>'4. Constituent Tolerances'!E23</f>
        <v>800</v>
      </c>
      <c r="F15" s="2">
        <f>'4. Constituent Tolerances'!F23</f>
        <v>938</v>
      </c>
      <c r="G15" s="3">
        <f>'4. Constituent Tolerances'!G23</f>
        <v>7.5000000000000002E-4</v>
      </c>
      <c r="H15" s="146">
        <f>'4. Constituent Tolerances'!H23</f>
        <v>0.3</v>
      </c>
      <c r="I15" s="146">
        <f>'4. Constituent Tolerances'!I23</f>
        <v>0</v>
      </c>
      <c r="J15" s="146">
        <f>'4. Constituent Tolerances'!J23</f>
        <v>0.3</v>
      </c>
      <c r="K15" s="146">
        <f>'4. Constituent Tolerances'!K23</f>
        <v>0</v>
      </c>
      <c r="L15" s="9" t="str">
        <f>'4. Constituent Tolerances'!L23</f>
        <v>Cryo</v>
      </c>
      <c r="M15" s="9" t="str">
        <f>'4. Constituent Tolerances'!M23</f>
        <v>M</v>
      </c>
      <c r="N15" s="1" t="str">
        <f>'4. Constituent Tolerances'!N23</f>
        <v>Measurement precision of metrology system and imprecision of best-fit plane definition</v>
      </c>
      <c r="P15" s="4"/>
      <c r="R15" s="186"/>
    </row>
    <row r="16" spans="1:18" ht="45" outlineLevel="1" x14ac:dyDescent="0.25">
      <c r="B16" s="1" t="str">
        <f>'4. Constituent Tolerances'!B24</f>
        <v>Grid K-C ball best-fit plane</v>
      </c>
      <c r="C16" s="1" t="str">
        <f>'4. Constituent Tolerances'!C24</f>
        <v>Measurement precision wrt Cryostat front flange L3 mount features</v>
      </c>
      <c r="D16" s="2">
        <f>'4. Constituent Tolerances'!D24</f>
        <v>20</v>
      </c>
      <c r="E16" s="2">
        <f>'4. Constituent Tolerances'!E24</f>
        <v>800</v>
      </c>
      <c r="F16" s="2">
        <f>'4. Constituent Tolerances'!F24</f>
        <v>938</v>
      </c>
      <c r="G16" s="3">
        <f>'4. Constituent Tolerances'!G24</f>
        <v>2.5000000000000001E-2</v>
      </c>
      <c r="H16" s="2">
        <f>'4. Constituent Tolerances'!H24</f>
        <v>10</v>
      </c>
      <c r="I16" s="2">
        <f>'4. Constituent Tolerances'!I24</f>
        <v>100</v>
      </c>
      <c r="J16" s="2">
        <f>'4. Constituent Tolerances'!J24</f>
        <v>10</v>
      </c>
      <c r="K16" s="2">
        <f>'4. Constituent Tolerances'!K24</f>
        <v>100</v>
      </c>
      <c r="L16" s="9" t="str">
        <f>'4. Constituent Tolerances'!L24</f>
        <v>Cryo</v>
      </c>
      <c r="M16" s="9" t="str">
        <f>'4. Constituent Tolerances'!M24</f>
        <v>M</v>
      </c>
      <c r="N16" s="1" t="str">
        <f>'4. Constituent Tolerances'!N24</f>
        <v>Precision of the tie-in of the location of the K-C ball best-fit plane to the L3 interface mount features on the cryostat front flange</v>
      </c>
      <c r="P16" s="4"/>
    </row>
    <row r="17" spans="1:18" s="104" customFormat="1" ht="172.5" customHeight="1" x14ac:dyDescent="0.25">
      <c r="A17" s="189">
        <v>42124</v>
      </c>
      <c r="B17" s="154" t="s">
        <v>132</v>
      </c>
      <c r="C17" s="116" t="s">
        <v>480</v>
      </c>
      <c r="D17" s="118"/>
      <c r="E17" s="118"/>
      <c r="F17" s="118" t="s">
        <v>58</v>
      </c>
      <c r="G17" s="119">
        <f>SQRT(SUMSQ(G14:G16))</f>
        <v>6.7318738104631751E-2</v>
      </c>
      <c r="H17" s="118">
        <f>SQRT(SUMSQ(H14:H16))</f>
        <v>26.927495241852704</v>
      </c>
      <c r="I17" s="120">
        <f>SQRT(SUMSQ(I14:I16))</f>
        <v>412.31056256176606</v>
      </c>
      <c r="J17" s="118">
        <f>SQRT(SUMSQ(J14:J16))</f>
        <v>26.927495241852704</v>
      </c>
      <c r="K17" s="120">
        <f>SQRT(SUMSQ(K14:K16))</f>
        <v>412.31056256176606</v>
      </c>
      <c r="L17" s="91"/>
      <c r="M17" s="91"/>
      <c r="N17" s="92"/>
      <c r="P17" s="236" t="s">
        <v>483</v>
      </c>
      <c r="Q17" s="92"/>
      <c r="R17" s="236" t="s">
        <v>482</v>
      </c>
    </row>
    <row r="18" spans="1:18" s="104" customFormat="1" x14ac:dyDescent="0.25">
      <c r="A18" s="91"/>
      <c r="B18" s="92"/>
      <c r="C18" s="132"/>
      <c r="D18" s="123"/>
      <c r="E18" s="123"/>
      <c r="F18" s="123" t="s">
        <v>59</v>
      </c>
      <c r="G18" s="124">
        <f>SUM(G14:G16)</f>
        <v>8.8249999999999995E-2</v>
      </c>
      <c r="H18" s="123">
        <f>SUM(H14:H16)</f>
        <v>35.299999999999997</v>
      </c>
      <c r="I18" s="125">
        <f>SUM(I14:I16)</f>
        <v>500</v>
      </c>
      <c r="J18" s="123">
        <f>SUM(J14:J16)</f>
        <v>35.299999999999997</v>
      </c>
      <c r="K18" s="125">
        <f>SUM(K14:K16)</f>
        <v>500</v>
      </c>
      <c r="L18" s="91"/>
      <c r="M18" s="91"/>
      <c r="N18" s="92"/>
      <c r="P18" s="92"/>
      <c r="Q18" s="92"/>
      <c r="R18" s="186"/>
    </row>
    <row r="19" spans="1:18" x14ac:dyDescent="0.25">
      <c r="B19" s="92"/>
      <c r="C19" s="92"/>
      <c r="D19" s="102"/>
      <c r="E19" s="102"/>
      <c r="F19" s="102"/>
      <c r="G19" s="103"/>
      <c r="H19" s="102"/>
      <c r="I19" s="102"/>
      <c r="J19" s="102"/>
      <c r="K19" s="102"/>
      <c r="L19" s="91"/>
      <c r="M19" s="91"/>
      <c r="N19" s="92"/>
      <c r="P19" s="4"/>
      <c r="R19" s="186"/>
    </row>
    <row r="20" spans="1:18" x14ac:dyDescent="0.25">
      <c r="B20" s="93" t="s">
        <v>133</v>
      </c>
      <c r="C20" s="94"/>
      <c r="D20" s="13"/>
      <c r="E20" s="13"/>
      <c r="F20" s="13"/>
      <c r="G20" s="13"/>
      <c r="H20" s="13"/>
      <c r="I20" s="13"/>
      <c r="J20" s="13"/>
      <c r="K20" s="13"/>
      <c r="L20" s="94"/>
      <c r="M20" s="94"/>
      <c r="N20" s="95" t="s">
        <v>231</v>
      </c>
      <c r="P20" s="4" t="s">
        <v>233</v>
      </c>
      <c r="R20" s="186"/>
    </row>
    <row r="21" spans="1:18" outlineLevel="1" x14ac:dyDescent="0.25">
      <c r="B21" s="1" t="str">
        <f>'4. Constituent Tolerances'!B12</f>
        <v>Cryostat mount flange flatness</v>
      </c>
      <c r="C21" s="1">
        <f>'4. Constituent Tolerances'!C12</f>
        <v>0</v>
      </c>
      <c r="D21" s="2">
        <f>'4. Constituent Tolerances'!D12</f>
        <v>50</v>
      </c>
      <c r="E21" s="2">
        <f>'4. Constituent Tolerances'!E12</f>
        <v>1120</v>
      </c>
      <c r="F21" s="2">
        <f>'4. Constituent Tolerances'!F12</f>
        <v>28</v>
      </c>
      <c r="G21" s="3">
        <f>'4. Constituent Tolerances'!G12</f>
        <v>4.4642857142857144E-2</v>
      </c>
      <c r="H21" s="2">
        <f>'4. Constituent Tolerances'!H12</f>
        <v>25</v>
      </c>
      <c r="I21" s="2">
        <f>'4. Constituent Tolerances'!I12</f>
        <v>0</v>
      </c>
      <c r="J21" s="2">
        <f>'4. Constituent Tolerances'!J12</f>
        <v>25</v>
      </c>
      <c r="K21" s="2">
        <f>'4. Constituent Tolerances'!K12</f>
        <v>0</v>
      </c>
      <c r="L21" s="9" t="str">
        <f>'4. Constituent Tolerances'!L12</f>
        <v>Cryo</v>
      </c>
      <c r="M21" s="9" t="str">
        <f>'4. Constituent Tolerances'!M12</f>
        <v>P</v>
      </c>
      <c r="N21" s="1" t="str">
        <f>'4. Constituent Tolerances'!N12</f>
        <v>Flatness affects piston error only</v>
      </c>
      <c r="P21" s="4"/>
      <c r="R21" s="186"/>
    </row>
    <row r="22" spans="1:18" ht="30" outlineLevel="1" x14ac:dyDescent="0.25">
      <c r="B22" s="1" t="str">
        <f>'4. Constituent Tolerances'!B13</f>
        <v>Cryostat mount flange mount features</v>
      </c>
      <c r="C22" s="1" t="str">
        <f>'4. Constituent Tolerances'!C13</f>
        <v>Cryostat front flange L3 mount features</v>
      </c>
      <c r="D22" s="2">
        <f>'4. Constituent Tolerances'!D13</f>
        <v>80</v>
      </c>
      <c r="E22" s="2">
        <f>'4. Constituent Tolerances'!E13</f>
        <v>950</v>
      </c>
      <c r="F22" s="2">
        <f>'4. Constituent Tolerances'!F13</f>
        <v>938</v>
      </c>
      <c r="G22" s="3">
        <f>'4. Constituent Tolerances'!G13</f>
        <v>8.4210526315789472E-2</v>
      </c>
      <c r="H22" s="2">
        <f>'4. Constituent Tolerances'!H13</f>
        <v>40</v>
      </c>
      <c r="I22" s="2">
        <f>'4. Constituent Tolerances'!I13</f>
        <v>100</v>
      </c>
      <c r="J22" s="2">
        <f>'4. Constituent Tolerances'!J13</f>
        <v>40</v>
      </c>
      <c r="K22" s="2">
        <f>'4. Constituent Tolerances'!K13</f>
        <v>100</v>
      </c>
      <c r="L22" s="9" t="str">
        <f>'4. Constituent Tolerances'!L13</f>
        <v>Cryo</v>
      </c>
      <c r="M22" s="9" t="str">
        <f>'4. Constituent Tolerances'!M13</f>
        <v>P</v>
      </c>
      <c r="N22" s="1" t="str">
        <f>'4. Constituent Tolerances'!N13</f>
        <v>Toleranced dims of front flange pins and surface to support cylinder back flange;  support cyl and cryostat are fab'd together</v>
      </c>
      <c r="P22" s="4"/>
      <c r="R22" s="186"/>
    </row>
    <row r="23" spans="1:18" ht="30" outlineLevel="1" x14ac:dyDescent="0.25">
      <c r="B23" s="1" t="str">
        <f>'4. Constituent Tolerances'!B14</f>
        <v>Cryostat mount flange mount features</v>
      </c>
      <c r="C23" s="1" t="str">
        <f>'4. Constituent Tolerances'!C14</f>
        <v>Measurement precision wrt mount flange</v>
      </c>
      <c r="D23" s="2">
        <f>'4. Constituent Tolerances'!D14</f>
        <v>20</v>
      </c>
      <c r="E23" s="2">
        <f>'4. Constituent Tolerances'!E14</f>
        <v>950</v>
      </c>
      <c r="F23" s="2">
        <f>'4. Constituent Tolerances'!F14</f>
        <v>938</v>
      </c>
      <c r="G23" s="3">
        <f>'4. Constituent Tolerances'!G14</f>
        <v>2.1052631578947368E-2</v>
      </c>
      <c r="H23" s="2">
        <f>'4. Constituent Tolerances'!H14</f>
        <v>10</v>
      </c>
      <c r="I23" s="2">
        <f>'4. Constituent Tolerances'!I14</f>
        <v>10</v>
      </c>
      <c r="J23" s="2">
        <f>'4. Constituent Tolerances'!J14</f>
        <v>10</v>
      </c>
      <c r="K23" s="2">
        <f>'4. Constituent Tolerances'!K14</f>
        <v>10</v>
      </c>
      <c r="L23" s="9" t="str">
        <f>'4. Constituent Tolerances'!L14</f>
        <v>Cryo</v>
      </c>
      <c r="M23" s="9" t="str">
        <f>'4. Constituent Tolerances'!M14</f>
        <v>M</v>
      </c>
      <c r="N23" s="1" t="str">
        <f>'4. Constituent Tolerances'!N14</f>
        <v>Mount features are measured on a CMM so precision is very good</v>
      </c>
      <c r="P23" s="4"/>
      <c r="R23" s="186"/>
    </row>
    <row r="24" spans="1:18" s="104" customFormat="1" ht="60" x14ac:dyDescent="0.25">
      <c r="A24" s="189">
        <v>42124</v>
      </c>
      <c r="B24" s="154" t="s">
        <v>132</v>
      </c>
      <c r="C24" s="116" t="s">
        <v>133</v>
      </c>
      <c r="D24" s="118"/>
      <c r="E24" s="118"/>
      <c r="F24" s="118" t="s">
        <v>58</v>
      </c>
      <c r="G24" s="119">
        <f>SQRT(SUMSQ(G21:G23))</f>
        <v>9.7609480751916278E-2</v>
      </c>
      <c r="H24" s="118">
        <f>SQRT(SUMSQ(H21:H23))</f>
        <v>48.218253804964775</v>
      </c>
      <c r="I24" s="120">
        <f>SQRT(SUMSQ(I21:I23))</f>
        <v>100.4987562112089</v>
      </c>
      <c r="J24" s="118">
        <f>SQRT(SUMSQ(J21:J23))</f>
        <v>48.218253804964775</v>
      </c>
      <c r="K24" s="120">
        <f>SQRT(SUMSQ(K21:K23))</f>
        <v>100.4987562112089</v>
      </c>
      <c r="L24" s="91"/>
      <c r="M24" s="91"/>
      <c r="N24" s="92"/>
      <c r="P24" s="4" t="s">
        <v>476</v>
      </c>
      <c r="Q24" s="92"/>
      <c r="R24" s="186"/>
    </row>
    <row r="25" spans="1:18" s="104" customFormat="1" x14ac:dyDescent="0.25">
      <c r="A25" s="91"/>
      <c r="B25" s="92"/>
      <c r="C25" s="132"/>
      <c r="D25" s="123"/>
      <c r="E25" s="123"/>
      <c r="F25" s="123" t="s">
        <v>59</v>
      </c>
      <c r="G25" s="124">
        <f>SUM(G21:G23)</f>
        <v>0.14990601503759399</v>
      </c>
      <c r="H25" s="123">
        <f>SUM(H21:H23)</f>
        <v>75</v>
      </c>
      <c r="I25" s="125">
        <f>SUM(I21:I23)</f>
        <v>110</v>
      </c>
      <c r="J25" s="123">
        <f>SUM(J21:J23)</f>
        <v>75</v>
      </c>
      <c r="K25" s="125">
        <f>SUM(K21:K23)</f>
        <v>110</v>
      </c>
      <c r="L25" s="91"/>
      <c r="M25" s="91"/>
      <c r="N25" s="92"/>
      <c r="P25" s="92"/>
      <c r="Q25" s="92"/>
      <c r="R25"/>
    </row>
    <row r="26" spans="1:18" x14ac:dyDescent="0.25">
      <c r="B26" s="92"/>
      <c r="C26" s="92"/>
      <c r="D26" s="102"/>
      <c r="E26" s="102"/>
      <c r="F26" s="102"/>
      <c r="G26" s="103"/>
      <c r="H26" s="102"/>
      <c r="I26" s="102"/>
      <c r="J26" s="102"/>
      <c r="K26" s="102"/>
      <c r="L26" s="91"/>
      <c r="M26" s="91"/>
      <c r="N26" s="92"/>
      <c r="P26" s="4"/>
    </row>
    <row r="27" spans="1:18" ht="30" x14ac:dyDescent="0.25">
      <c r="A27" s="169"/>
      <c r="B27" s="93" t="s">
        <v>152</v>
      </c>
      <c r="C27" s="94"/>
      <c r="D27" s="13"/>
      <c r="E27" s="13"/>
      <c r="F27" s="13"/>
      <c r="G27" s="13"/>
      <c r="H27" s="13"/>
      <c r="I27" s="13"/>
      <c r="J27" s="13"/>
      <c r="K27" s="13"/>
      <c r="L27" s="94"/>
      <c r="M27" s="94"/>
      <c r="N27" s="95" t="s">
        <v>229</v>
      </c>
      <c r="P27" s="4"/>
      <c r="R27" s="186"/>
    </row>
    <row r="28" spans="1:18" outlineLevel="1" x14ac:dyDescent="0.25">
      <c r="A28" s="169"/>
      <c r="B28" s="1" t="str">
        <f>'4. Constituent Tolerances'!B8:N8</f>
        <v>Camera back flange rotator interface flatness</v>
      </c>
      <c r="C28" s="1">
        <f>'4. Constituent Tolerances'!C8</f>
        <v>0</v>
      </c>
      <c r="D28" s="2">
        <f>'4. Constituent Tolerances'!D8</f>
        <v>80</v>
      </c>
      <c r="E28" s="2">
        <f>'4. Constituent Tolerances'!E8</f>
        <v>1600</v>
      </c>
      <c r="F28" s="2">
        <f>'4. Constituent Tolerances'!F8</f>
        <v>0</v>
      </c>
      <c r="G28" s="3">
        <f>'4. Constituent Tolerances'!G8</f>
        <v>0</v>
      </c>
      <c r="H28" s="2">
        <f>'4. Constituent Tolerances'!H8</f>
        <v>40</v>
      </c>
      <c r="I28" s="2">
        <f>'4. Constituent Tolerances'!I8</f>
        <v>0</v>
      </c>
      <c r="J28" s="2">
        <f>'4. Constituent Tolerances'!J8</f>
        <v>40</v>
      </c>
      <c r="K28" s="2">
        <f>'4. Constituent Tolerances'!K8</f>
        <v>0</v>
      </c>
      <c r="L28" s="9" t="str">
        <f>'4. Constituent Tolerances'!L8</f>
        <v>CBM</v>
      </c>
      <c r="M28" s="9" t="str">
        <f>'4. Constituent Tolerances'!M8</f>
        <v>P</v>
      </c>
      <c r="N28" s="1" t="str">
        <f>'4. Constituent Tolerances'!N8</f>
        <v>Flatness affects piston error only</v>
      </c>
      <c r="P28" s="4"/>
      <c r="R28" s="186"/>
    </row>
    <row r="29" spans="1:18" ht="30" outlineLevel="1" x14ac:dyDescent="0.25">
      <c r="A29" s="169"/>
      <c r="B29" s="1" t="str">
        <f>'4. Constituent Tolerances'!B9</f>
        <v>Camera back flange rotator interface features</v>
      </c>
      <c r="C29" s="1" t="str">
        <f>'4. Constituent Tolerances'!C9</f>
        <v>Datum feature measurement precision</v>
      </c>
      <c r="D29" s="2">
        <f>'4. Constituent Tolerances'!D9</f>
        <v>20</v>
      </c>
      <c r="E29" s="2">
        <f>'4. Constituent Tolerances'!E9</f>
        <v>950</v>
      </c>
      <c r="F29" s="2">
        <f>'4. Constituent Tolerances'!F9</f>
        <v>0</v>
      </c>
      <c r="G29" s="3">
        <f>'4. Constituent Tolerances'!G9</f>
        <v>2.1052631578947368E-2</v>
      </c>
      <c r="H29" s="2">
        <f>'4. Constituent Tolerances'!H9</f>
        <v>10</v>
      </c>
      <c r="I29" s="2">
        <f>'4. Constituent Tolerances'!I9</f>
        <v>10</v>
      </c>
      <c r="J29" s="2">
        <f>'4. Constituent Tolerances'!J9</f>
        <v>10</v>
      </c>
      <c r="K29" s="2">
        <f>'4. Constituent Tolerances'!K9</f>
        <v>10</v>
      </c>
      <c r="L29" s="9" t="str">
        <f>'4. Constituent Tolerances'!L9</f>
        <v>CBM</v>
      </c>
      <c r="M29" s="9" t="str">
        <f>'4. Constituent Tolerances'!M9</f>
        <v>M</v>
      </c>
      <c r="N29" s="1" t="str">
        <f>'4. Constituent Tolerances'!N9</f>
        <v>Fiducials are measured on a CMM so precision is very good</v>
      </c>
      <c r="P29" s="4"/>
      <c r="R29" s="186"/>
    </row>
    <row r="30" spans="1:18" ht="75" outlineLevel="1" x14ac:dyDescent="0.25">
      <c r="A30" s="169"/>
      <c r="B30" s="148" t="str">
        <f>'4. Constituent Tolerances'!B10</f>
        <v>Camera back flange rotator interface features</v>
      </c>
      <c r="C30" s="148" t="str">
        <f>'4. Constituent Tolerances'!C10</f>
        <v>Camera back flange cryostat mount recess</v>
      </c>
      <c r="D30" s="149">
        <f>'4. Constituent Tolerances'!D10</f>
        <v>80</v>
      </c>
      <c r="E30" s="149">
        <f>'4. Constituent Tolerances'!E10</f>
        <v>1120</v>
      </c>
      <c r="F30" s="149">
        <f>'4. Constituent Tolerances'!F10</f>
        <v>28</v>
      </c>
      <c r="G30" s="150">
        <f>'4. Constituent Tolerances'!G10</f>
        <v>7.1428571428571425E-2</v>
      </c>
      <c r="H30" s="149">
        <f>'4. Constituent Tolerances'!H10</f>
        <v>40</v>
      </c>
      <c r="I30" s="149">
        <f>'4. Constituent Tolerances'!I10</f>
        <v>125</v>
      </c>
      <c r="J30" s="149">
        <f>'4. Constituent Tolerances'!J10</f>
        <v>40</v>
      </c>
      <c r="K30" s="149">
        <f>'4. Constituent Tolerances'!K10</f>
        <v>125</v>
      </c>
      <c r="L30" s="151" t="str">
        <f>'4. Constituent Tolerances'!L10</f>
        <v>CBM</v>
      </c>
      <c r="M30" s="151" t="str">
        <f>'4. Constituent Tolerances'!M10</f>
        <v>P</v>
      </c>
      <c r="N30" s="148" t="str">
        <f>'4. Constituent Tolerances'!N10</f>
        <v>Toleranced dims to cryostat interface pins and recess on back flange</v>
      </c>
      <c r="O30" s="186"/>
      <c r="P30" s="187"/>
      <c r="Q30" s="148" t="str">
        <f>'4. Constituent Tolerances'!R10</f>
        <v>8/30/2016 MN: Decenter was +/-50 which is too tight to fab; now is +/-125; 80 parallelism is OK</v>
      </c>
      <c r="R30" s="8" t="s">
        <v>357</v>
      </c>
    </row>
    <row r="31" spans="1:18" ht="90" outlineLevel="1" x14ac:dyDescent="0.25">
      <c r="A31" s="169"/>
      <c r="B31" s="148" t="str">
        <f>'4. Constituent Tolerances'!B11</f>
        <v>Camera back flange cryostat mount recess</v>
      </c>
      <c r="C31" s="148" t="str">
        <f>'4. Constituent Tolerances'!C11</f>
        <v>Cryostat mount flange fit-up repeatability</v>
      </c>
      <c r="D31" s="149">
        <f>'4. Constituent Tolerances'!D11</f>
        <v>0</v>
      </c>
      <c r="E31" s="149">
        <f>'4. Constituent Tolerances'!E11</f>
        <v>1120</v>
      </c>
      <c r="F31" s="149">
        <f>'4. Constituent Tolerances'!F11</f>
        <v>28</v>
      </c>
      <c r="G31" s="150">
        <f>'4. Constituent Tolerances'!G11</f>
        <v>0</v>
      </c>
      <c r="H31" s="149">
        <f>'4. Constituent Tolerances'!H11</f>
        <v>0</v>
      </c>
      <c r="I31" s="149">
        <f>'4. Constituent Tolerances'!I11</f>
        <v>60</v>
      </c>
      <c r="J31" s="149">
        <f>'4. Constituent Tolerances'!J11</f>
        <v>0</v>
      </c>
      <c r="K31" s="149">
        <f>'4. Constituent Tolerances'!K11</f>
        <v>60</v>
      </c>
      <c r="L31" s="151" t="str">
        <f>'4. Constituent Tolerances'!L11</f>
        <v>I&amp;T</v>
      </c>
      <c r="M31" s="151" t="str">
        <f>'4. Constituent Tolerances'!M11</f>
        <v>P</v>
      </c>
      <c r="N31" s="148" t="str">
        <f>'4. Constituent Tolerances'!N11</f>
        <v>Slop in pin clearances; no tip/tilt repeatability errors</v>
      </c>
      <c r="O31" s="186"/>
      <c r="P31" s="187"/>
      <c r="Q31" s="148" t="str">
        <f>'4. Constituent Tolerances'!R11</f>
        <v>8/30/2016 MN: Decenter on fit-up was +/-50, is +/-60; this is consistent with the D9h7 pinned joint fit-up</v>
      </c>
      <c r="R31" s="8" t="s">
        <v>357</v>
      </c>
    </row>
    <row r="32" spans="1:18" outlineLevel="1" x14ac:dyDescent="0.25">
      <c r="A32" s="169"/>
      <c r="B32" s="1" t="str">
        <f>'4. Constituent Tolerances'!B12</f>
        <v>Cryostat mount flange flatness</v>
      </c>
      <c r="C32" s="1">
        <f>'4. Constituent Tolerances'!C12</f>
        <v>0</v>
      </c>
      <c r="D32" s="2">
        <f>'4. Constituent Tolerances'!D12</f>
        <v>50</v>
      </c>
      <c r="E32" s="2">
        <f>'4. Constituent Tolerances'!E12</f>
        <v>1120</v>
      </c>
      <c r="F32" s="2">
        <f>'4. Constituent Tolerances'!F12</f>
        <v>28</v>
      </c>
      <c r="G32" s="3">
        <f>'4. Constituent Tolerances'!G12</f>
        <v>4.4642857142857144E-2</v>
      </c>
      <c r="H32" s="2">
        <f>'4. Constituent Tolerances'!H12</f>
        <v>25</v>
      </c>
      <c r="I32" s="2">
        <f>'4. Constituent Tolerances'!I12</f>
        <v>0</v>
      </c>
      <c r="J32" s="2">
        <f>'4. Constituent Tolerances'!J12</f>
        <v>25</v>
      </c>
      <c r="K32" s="2">
        <f>'4. Constituent Tolerances'!K12</f>
        <v>0</v>
      </c>
      <c r="L32" s="9" t="str">
        <f>'4. Constituent Tolerances'!L12</f>
        <v>Cryo</v>
      </c>
      <c r="M32" s="9" t="str">
        <f>'4. Constituent Tolerances'!M12</f>
        <v>P</v>
      </c>
      <c r="N32" s="1" t="str">
        <f>'4. Constituent Tolerances'!N12</f>
        <v>Flatness affects piston error only</v>
      </c>
      <c r="P32" s="4"/>
    </row>
    <row r="33" spans="1:18" ht="30" outlineLevel="1" x14ac:dyDescent="0.25">
      <c r="A33" s="169"/>
      <c r="B33" s="1" t="str">
        <f>'4. Constituent Tolerances'!B13</f>
        <v>Cryostat mount flange mount features</v>
      </c>
      <c r="C33" s="1" t="str">
        <f>'4. Constituent Tolerances'!C13</f>
        <v>Cryostat front flange L3 mount features</v>
      </c>
      <c r="D33" s="2">
        <f>'4. Constituent Tolerances'!D13</f>
        <v>80</v>
      </c>
      <c r="E33" s="2">
        <f>'4. Constituent Tolerances'!E13</f>
        <v>950</v>
      </c>
      <c r="F33" s="2">
        <f>'4. Constituent Tolerances'!F13</f>
        <v>938</v>
      </c>
      <c r="G33" s="3">
        <f>'4. Constituent Tolerances'!G13</f>
        <v>8.4210526315789472E-2</v>
      </c>
      <c r="H33" s="2">
        <f>'4. Constituent Tolerances'!H13</f>
        <v>40</v>
      </c>
      <c r="I33" s="2">
        <f>'4. Constituent Tolerances'!I13</f>
        <v>100</v>
      </c>
      <c r="J33" s="2">
        <f>'4. Constituent Tolerances'!J13</f>
        <v>40</v>
      </c>
      <c r="K33" s="2">
        <f>'4. Constituent Tolerances'!K13</f>
        <v>100</v>
      </c>
      <c r="L33" s="9" t="str">
        <f>'4. Constituent Tolerances'!L13</f>
        <v>Cryo</v>
      </c>
      <c r="M33" s="9" t="str">
        <f>'4. Constituent Tolerances'!M13</f>
        <v>P</v>
      </c>
      <c r="N33" s="1" t="str">
        <f>'4. Constituent Tolerances'!N13</f>
        <v>Toleranced dims of front flange pins and surface to support cylinder back flange;  support cyl and cryostat are fab'd together</v>
      </c>
      <c r="P33" s="4"/>
      <c r="R33" s="186"/>
    </row>
    <row r="34" spans="1:18" ht="30" outlineLevel="1" x14ac:dyDescent="0.25">
      <c r="A34" s="169"/>
      <c r="B34" s="1" t="str">
        <f>'4. Constituent Tolerances'!B14</f>
        <v>Cryostat mount flange mount features</v>
      </c>
      <c r="C34" s="1" t="str">
        <f>'4. Constituent Tolerances'!C14</f>
        <v>Measurement precision wrt mount flange</v>
      </c>
      <c r="D34" s="2">
        <f>'4. Constituent Tolerances'!D14</f>
        <v>20</v>
      </c>
      <c r="E34" s="2">
        <f>'4. Constituent Tolerances'!E14</f>
        <v>950</v>
      </c>
      <c r="F34" s="2">
        <f>'4. Constituent Tolerances'!F14</f>
        <v>938</v>
      </c>
      <c r="G34" s="3">
        <f>'4. Constituent Tolerances'!G14</f>
        <v>2.1052631578947368E-2</v>
      </c>
      <c r="H34" s="2">
        <f>'4. Constituent Tolerances'!H14</f>
        <v>10</v>
      </c>
      <c r="I34" s="2">
        <f>'4. Constituent Tolerances'!I14</f>
        <v>10</v>
      </c>
      <c r="J34" s="2">
        <f>'4. Constituent Tolerances'!J14</f>
        <v>10</v>
      </c>
      <c r="K34" s="2">
        <f>'4. Constituent Tolerances'!K14</f>
        <v>10</v>
      </c>
      <c r="L34" s="9" t="str">
        <f>'4. Constituent Tolerances'!L14</f>
        <v>Cryo</v>
      </c>
      <c r="M34" s="9" t="str">
        <f>'4. Constituent Tolerances'!M14</f>
        <v>M</v>
      </c>
      <c r="N34" s="1" t="str">
        <f>'4. Constituent Tolerances'!N14</f>
        <v>Mount features are measured on a CMM so precision is very good</v>
      </c>
      <c r="P34" s="4"/>
      <c r="R34" s="186"/>
    </row>
    <row r="35" spans="1:18" outlineLevel="1" x14ac:dyDescent="0.25">
      <c r="A35" s="169"/>
      <c r="B35" s="1" t="str">
        <f>'4. Constituent Tolerances'!B45</f>
        <v>Cryostat front flange L3 mount features</v>
      </c>
      <c r="C35" s="1" t="str">
        <f>'4. Constituent Tolerances'!C45</f>
        <v>L3 flange fit-up repeatability</v>
      </c>
      <c r="D35" s="2">
        <f>'4. Constituent Tolerances'!D45</f>
        <v>0</v>
      </c>
      <c r="E35" s="2">
        <f>'4. Constituent Tolerances'!E45</f>
        <v>950</v>
      </c>
      <c r="F35" s="2">
        <f>'4. Constituent Tolerances'!F45</f>
        <v>938</v>
      </c>
      <c r="G35" s="3">
        <f>'4. Constituent Tolerances'!G45</f>
        <v>0</v>
      </c>
      <c r="H35" s="2">
        <f>'4. Constituent Tolerances'!H45</f>
        <v>0</v>
      </c>
      <c r="I35" s="2">
        <f>'4. Constituent Tolerances'!I45</f>
        <v>50</v>
      </c>
      <c r="J35" s="2">
        <f>'4. Constituent Tolerances'!J45</f>
        <v>0</v>
      </c>
      <c r="K35" s="2">
        <f>'4. Constituent Tolerances'!K45</f>
        <v>50</v>
      </c>
      <c r="L35" s="9" t="str">
        <f>'4. Constituent Tolerances'!L45</f>
        <v>I&amp;T</v>
      </c>
      <c r="M35" s="9" t="str">
        <f>'4. Constituent Tolerances'!M45</f>
        <v>P</v>
      </c>
      <c r="N35" s="1" t="str">
        <f>'4. Constituent Tolerances'!N45</f>
        <v>Slop in pin clearances; no tip/tilt repeatability errors</v>
      </c>
      <c r="P35" s="4"/>
      <c r="R35" s="186"/>
    </row>
    <row r="36" spans="1:18" ht="61.5" customHeight="1" outlineLevel="1" x14ac:dyDescent="0.25">
      <c r="A36" s="192">
        <v>42124</v>
      </c>
      <c r="B36" s="1" t="str">
        <f>'4. Constituent Tolerances'!B42</f>
        <v>L3 optical axis</v>
      </c>
      <c r="C36" s="1" t="str">
        <f>'4. Constituent Tolerances'!C42</f>
        <v>L3 flange interface datum features</v>
      </c>
      <c r="D36" s="2">
        <f>'4. Constituent Tolerances'!D42</f>
        <v>0</v>
      </c>
      <c r="E36" s="2">
        <f>'4. Constituent Tolerances'!E42</f>
        <v>950</v>
      </c>
      <c r="F36" s="2">
        <f>'4. Constituent Tolerances'!F42</f>
        <v>995</v>
      </c>
      <c r="G36" s="3">
        <f>'4. Constituent Tolerances'!G42</f>
        <v>0.09</v>
      </c>
      <c r="H36" s="2">
        <f>'4. Constituent Tolerances'!H42</f>
        <v>50</v>
      </c>
      <c r="I36" s="2">
        <f>'4. Constituent Tolerances'!I42</f>
        <v>80</v>
      </c>
      <c r="J36" s="2">
        <f>'4. Constituent Tolerances'!J42</f>
        <v>50</v>
      </c>
      <c r="K36" s="2">
        <f>'4. Constituent Tolerances'!K42</f>
        <v>80</v>
      </c>
      <c r="L36" s="9" t="str">
        <f>'4. Constituent Tolerances'!L42</f>
        <v>Opt</v>
      </c>
      <c r="M36" s="9" t="str">
        <f>'4. Constituent Tolerances'!M42</f>
        <v>M</v>
      </c>
      <c r="N36" s="1" t="str">
        <f>'4. Constituent Tolerances'!N42</f>
        <v>Accuracy of measuring and aligning the L3 optic in the flange, with respect to the flange interface features; includes all null test set-up and inspection tolerances, and flange fab tolerances</v>
      </c>
      <c r="P36" s="4"/>
    </row>
    <row r="37" spans="1:18" ht="45" outlineLevel="1" x14ac:dyDescent="0.25">
      <c r="A37" s="169"/>
      <c r="B37" s="1" t="str">
        <f>'4. Constituent Tolerances'!B43</f>
        <v>L3 flange interface datum features</v>
      </c>
      <c r="C37" s="1" t="str">
        <f>'4. Constituent Tolerances'!C43</f>
        <v>L3 flange SMR measurement precision, position stability</v>
      </c>
      <c r="D37" s="2">
        <f>'4. Constituent Tolerances'!D43</f>
        <v>0</v>
      </c>
      <c r="E37" s="2">
        <f>'4. Constituent Tolerances'!E43</f>
        <v>950</v>
      </c>
      <c r="F37" s="2">
        <f>'4. Constituent Tolerances'!F43</f>
        <v>995</v>
      </c>
      <c r="G37" s="3">
        <f>'4. Constituent Tolerances'!G43</f>
        <v>3.5000000000000003E-2</v>
      </c>
      <c r="H37" s="2">
        <f>'4. Constituent Tolerances'!H43</f>
        <v>35</v>
      </c>
      <c r="I37" s="2">
        <f>'4. Constituent Tolerances'!I43</f>
        <v>35</v>
      </c>
      <c r="J37" s="2">
        <f>'4. Constituent Tolerances'!J43</f>
        <v>35</v>
      </c>
      <c r="K37" s="2">
        <f>'4. Constituent Tolerances'!K43</f>
        <v>35</v>
      </c>
      <c r="L37" s="9" t="str">
        <f>'4. Constituent Tolerances'!L43</f>
        <v>Opt</v>
      </c>
      <c r="M37" s="9" t="str">
        <f>'4. Constituent Tolerances'!M43</f>
        <v>M</v>
      </c>
      <c r="N37" s="1" t="str">
        <f>'4. Constituent Tolerances'!N43</f>
        <v>Includes measurement precision of SMRs wrt L3 optical axis and stability/ reproducibility of SMR mounting and measurement off of L3 flange</v>
      </c>
      <c r="P37" s="4"/>
    </row>
    <row r="38" spans="1:18" ht="30" outlineLevel="1" x14ac:dyDescent="0.25">
      <c r="A38" s="169"/>
      <c r="B38" s="1" t="str">
        <f>'4. Constituent Tolerances'!B44</f>
        <v>L3 flange SMR position measurement</v>
      </c>
      <c r="C38" s="1" t="str">
        <f>'4. Constituent Tolerances'!C44</f>
        <v>Survey precision to laser tracker world coordinate system</v>
      </c>
      <c r="D38" s="2">
        <f>'4. Constituent Tolerances'!D44</f>
        <v>50</v>
      </c>
      <c r="E38" s="2">
        <f>'4. Constituent Tolerances'!E44</f>
        <v>950</v>
      </c>
      <c r="F38" s="2">
        <f>'4. Constituent Tolerances'!F44</f>
        <v>995</v>
      </c>
      <c r="G38" s="3">
        <f>'4. Constituent Tolerances'!G44</f>
        <v>5.2631578947368418E-2</v>
      </c>
      <c r="H38" s="2">
        <f>'4. Constituent Tolerances'!H44</f>
        <v>50</v>
      </c>
      <c r="I38" s="2">
        <f>'4. Constituent Tolerances'!I44</f>
        <v>50</v>
      </c>
      <c r="J38" s="2">
        <f>'4. Constituent Tolerances'!J44</f>
        <v>50</v>
      </c>
      <c r="K38" s="2">
        <f>'4. Constituent Tolerances'!K44</f>
        <v>50</v>
      </c>
      <c r="L38" s="9" t="str">
        <f>'4. Constituent Tolerances'!L44</f>
        <v>I&amp;T</v>
      </c>
      <c r="M38" s="9" t="str">
        <f>'4. Constituent Tolerances'!M44</f>
        <v>M</v>
      </c>
      <c r="N38" s="1" t="str">
        <f>'4. Constituent Tolerances'!N44</f>
        <v>Precision of position survey of L3 fiducials</v>
      </c>
      <c r="P38" s="4"/>
      <c r="R38" s="186"/>
    </row>
    <row r="39" spans="1:18" s="104" customFormat="1" ht="45" x14ac:dyDescent="0.25">
      <c r="A39" s="193"/>
      <c r="B39" s="92"/>
      <c r="C39" s="131" t="s">
        <v>152</v>
      </c>
      <c r="D39" s="118"/>
      <c r="E39" s="118"/>
      <c r="F39" s="118" t="s">
        <v>58</v>
      </c>
      <c r="G39" s="119">
        <f>SQRT(SUMSQ(G28:G38))</f>
        <v>0.16482702432513063</v>
      </c>
      <c r="H39" s="118">
        <f>SQRT(SUMSQ(H28:H38))</f>
        <v>108.8577052853862</v>
      </c>
      <c r="I39" s="120">
        <f>SQRT(SUMSQ(I28:I38))</f>
        <v>205.06096654409879</v>
      </c>
      <c r="J39" s="118">
        <f>SQRT(SUMSQ(J28:J38))</f>
        <v>108.8577052853862</v>
      </c>
      <c r="K39" s="120">
        <f>SQRT(SUMSQ(K28:K38))</f>
        <v>205.06096654409879</v>
      </c>
      <c r="L39" s="91"/>
      <c r="M39" s="91"/>
      <c r="N39" s="92"/>
      <c r="P39" s="92"/>
      <c r="Q39" s="234" t="s">
        <v>343</v>
      </c>
      <c r="R39" s="8" t="s">
        <v>357</v>
      </c>
    </row>
    <row r="40" spans="1:18" s="104" customFormat="1" ht="45" x14ac:dyDescent="0.25">
      <c r="A40" s="193"/>
      <c r="B40" s="92"/>
      <c r="C40" s="132"/>
      <c r="D40" s="123"/>
      <c r="E40" s="123"/>
      <c r="F40" s="123" t="s">
        <v>59</v>
      </c>
      <c r="G40" s="124">
        <f>SUM(G28:G38)</f>
        <v>0.42001879699248118</v>
      </c>
      <c r="H40" s="123">
        <f>SUM(H28:H38)</f>
        <v>300</v>
      </c>
      <c r="I40" s="125">
        <f>SUM(I28:I38)</f>
        <v>520</v>
      </c>
      <c r="J40" s="123">
        <f>SUM(J28:J38)</f>
        <v>300</v>
      </c>
      <c r="K40" s="125">
        <f>SUM(K28:K38)</f>
        <v>520</v>
      </c>
      <c r="L40" s="91"/>
      <c r="M40" s="91"/>
      <c r="N40" s="92"/>
      <c r="P40" s="92"/>
      <c r="Q40" s="234" t="s">
        <v>344</v>
      </c>
      <c r="R40" s="8" t="s">
        <v>357</v>
      </c>
    </row>
    <row r="41" spans="1:18" x14ac:dyDescent="0.25">
      <c r="B41" s="92"/>
      <c r="C41" s="92"/>
      <c r="D41" s="102"/>
      <c r="E41" s="102"/>
      <c r="F41" s="102"/>
      <c r="G41" s="103"/>
      <c r="H41" s="102"/>
      <c r="I41" s="102"/>
      <c r="J41" s="102"/>
      <c r="K41" s="102"/>
      <c r="L41" s="91"/>
      <c r="M41" s="91"/>
      <c r="N41" s="92"/>
      <c r="P41" s="4"/>
      <c r="Q41" s="186"/>
    </row>
    <row r="42" spans="1:18" x14ac:dyDescent="0.25">
      <c r="B42" s="93" t="s">
        <v>488</v>
      </c>
      <c r="C42" s="94"/>
      <c r="D42" s="13"/>
      <c r="E42" s="13"/>
      <c r="F42" s="13"/>
      <c r="G42" s="13"/>
      <c r="H42" s="13"/>
      <c r="I42" s="13"/>
      <c r="J42" s="13"/>
      <c r="K42" s="13"/>
      <c r="L42" s="94"/>
      <c r="M42" s="94"/>
      <c r="N42" s="95"/>
      <c r="P42" s="4"/>
      <c r="Q42"/>
    </row>
    <row r="43" spans="1:18" outlineLevel="1" x14ac:dyDescent="0.25">
      <c r="B43" s="1" t="str">
        <f>'4. Constituent Tolerances'!B8</f>
        <v>Camera back flange rotator interface flatness</v>
      </c>
      <c r="C43" s="1">
        <f>'4. Constituent Tolerances'!C8</f>
        <v>0</v>
      </c>
      <c r="D43" s="2">
        <f>'4. Constituent Tolerances'!D8</f>
        <v>80</v>
      </c>
      <c r="E43" s="2">
        <f>'4. Constituent Tolerances'!E8</f>
        <v>1600</v>
      </c>
      <c r="F43" s="2">
        <f>'4. Constituent Tolerances'!F8</f>
        <v>0</v>
      </c>
      <c r="G43" s="3">
        <f>'4. Constituent Tolerances'!G8</f>
        <v>0</v>
      </c>
      <c r="H43" s="2">
        <f>'4. Constituent Tolerances'!H8</f>
        <v>40</v>
      </c>
      <c r="I43" s="2">
        <f>'4. Constituent Tolerances'!I8</f>
        <v>0</v>
      </c>
      <c r="J43" s="2">
        <f>'4. Constituent Tolerances'!J8</f>
        <v>40</v>
      </c>
      <c r="K43" s="2">
        <f>'4. Constituent Tolerances'!K8</f>
        <v>0</v>
      </c>
      <c r="L43" s="9" t="str">
        <f>'4. Constituent Tolerances'!L8</f>
        <v>CBM</v>
      </c>
      <c r="M43" s="9" t="str">
        <f>'4. Constituent Tolerances'!M8</f>
        <v>P</v>
      </c>
      <c r="N43" s="1" t="str">
        <f>'4. Constituent Tolerances'!N8</f>
        <v>Flatness affects piston error only</v>
      </c>
      <c r="P43" s="4"/>
      <c r="Q43"/>
    </row>
    <row r="44" spans="1:18" ht="30" outlineLevel="1" x14ac:dyDescent="0.25">
      <c r="B44" s="1" t="str">
        <f>'4. Constituent Tolerances'!B9</f>
        <v>Camera back flange rotator interface features</v>
      </c>
      <c r="C44" s="1" t="str">
        <f>'4. Constituent Tolerances'!C9</f>
        <v>Datum feature measurement precision</v>
      </c>
      <c r="D44" s="2">
        <f>'4. Constituent Tolerances'!D9</f>
        <v>20</v>
      </c>
      <c r="E44" s="2">
        <f>'4. Constituent Tolerances'!E9</f>
        <v>950</v>
      </c>
      <c r="F44" s="2">
        <f>'4. Constituent Tolerances'!F9</f>
        <v>0</v>
      </c>
      <c r="G44" s="3">
        <f>'4. Constituent Tolerances'!G9</f>
        <v>2.1052631578947368E-2</v>
      </c>
      <c r="H44" s="2">
        <f>'4. Constituent Tolerances'!H9</f>
        <v>10</v>
      </c>
      <c r="I44" s="2">
        <f>'4. Constituent Tolerances'!I9</f>
        <v>10</v>
      </c>
      <c r="J44" s="2">
        <f>'4. Constituent Tolerances'!J9</f>
        <v>10</v>
      </c>
      <c r="K44" s="2">
        <f>'4. Constituent Tolerances'!K9</f>
        <v>10</v>
      </c>
      <c r="L44" s="9" t="str">
        <f>'4. Constituent Tolerances'!L9</f>
        <v>CBM</v>
      </c>
      <c r="M44" s="9" t="str">
        <f>'4. Constituent Tolerances'!M9</f>
        <v>M</v>
      </c>
      <c r="N44" s="1" t="str">
        <f>'4. Constituent Tolerances'!N9</f>
        <v>Fiducials are measured on a CMM so precision is very good</v>
      </c>
      <c r="P44" s="4"/>
      <c r="Q44" s="186"/>
    </row>
    <row r="45" spans="1:18" ht="75" outlineLevel="1" x14ac:dyDescent="0.25">
      <c r="B45" s="148" t="str">
        <f>'4. Constituent Tolerances'!B10</f>
        <v>Camera back flange rotator interface features</v>
      </c>
      <c r="C45" s="148" t="str">
        <f>'4. Constituent Tolerances'!C10</f>
        <v>Camera back flange cryostat mount recess</v>
      </c>
      <c r="D45" s="149">
        <f>'4. Constituent Tolerances'!D10</f>
        <v>80</v>
      </c>
      <c r="E45" s="149">
        <f>'4. Constituent Tolerances'!E10</f>
        <v>1120</v>
      </c>
      <c r="F45" s="149">
        <f>'4. Constituent Tolerances'!F10</f>
        <v>28</v>
      </c>
      <c r="G45" s="150">
        <f>'4. Constituent Tolerances'!G10</f>
        <v>7.1428571428571425E-2</v>
      </c>
      <c r="H45" s="149">
        <f>'4. Constituent Tolerances'!H10</f>
        <v>40</v>
      </c>
      <c r="I45" s="149">
        <f>'4. Constituent Tolerances'!I10</f>
        <v>125</v>
      </c>
      <c r="J45" s="149">
        <f>'4. Constituent Tolerances'!J10</f>
        <v>40</v>
      </c>
      <c r="K45" s="149">
        <f>'4. Constituent Tolerances'!K10</f>
        <v>125</v>
      </c>
      <c r="L45" s="151" t="str">
        <f>'4. Constituent Tolerances'!L10</f>
        <v>CBM</v>
      </c>
      <c r="M45" s="151" t="str">
        <f>'4. Constituent Tolerances'!M10</f>
        <v>P</v>
      </c>
      <c r="N45" s="148" t="str">
        <f>'4. Constituent Tolerances'!N10</f>
        <v>Toleranced dims to cryostat interface pins and recess on back flange</v>
      </c>
      <c r="O45" s="186"/>
      <c r="P45" s="187"/>
      <c r="Q45" s="148" t="str">
        <f>'4. Constituent Tolerances'!R10</f>
        <v>8/30/2016 MN: Decenter was +/-50 which is too tight to fab; now is +/-125; 80 parallelism is OK</v>
      </c>
      <c r="R45" s="8" t="s">
        <v>357</v>
      </c>
    </row>
    <row r="46" spans="1:18" ht="90" outlineLevel="1" x14ac:dyDescent="0.25">
      <c r="B46" s="148" t="str">
        <f>'4. Constituent Tolerances'!B11</f>
        <v>Camera back flange cryostat mount recess</v>
      </c>
      <c r="C46" s="148" t="str">
        <f>'4. Constituent Tolerances'!C11</f>
        <v>Cryostat mount flange fit-up repeatability</v>
      </c>
      <c r="D46" s="149">
        <f>'4. Constituent Tolerances'!D11</f>
        <v>0</v>
      </c>
      <c r="E46" s="149">
        <f>'4. Constituent Tolerances'!E11</f>
        <v>1120</v>
      </c>
      <c r="F46" s="149">
        <f>'4. Constituent Tolerances'!F11</f>
        <v>28</v>
      </c>
      <c r="G46" s="150">
        <f>'4. Constituent Tolerances'!G11</f>
        <v>0</v>
      </c>
      <c r="H46" s="149">
        <f>'4. Constituent Tolerances'!H11</f>
        <v>0</v>
      </c>
      <c r="I46" s="149">
        <f>'4. Constituent Tolerances'!I11</f>
        <v>60</v>
      </c>
      <c r="J46" s="149">
        <f>'4. Constituent Tolerances'!J11</f>
        <v>0</v>
      </c>
      <c r="K46" s="149">
        <f>'4. Constituent Tolerances'!K11</f>
        <v>60</v>
      </c>
      <c r="L46" s="151" t="str">
        <f>'4. Constituent Tolerances'!L11</f>
        <v>I&amp;T</v>
      </c>
      <c r="M46" s="151" t="str">
        <f>'4. Constituent Tolerances'!M11</f>
        <v>P</v>
      </c>
      <c r="N46" s="148" t="str">
        <f>'4. Constituent Tolerances'!N11</f>
        <v>Slop in pin clearances; no tip/tilt repeatability errors</v>
      </c>
      <c r="O46" s="186"/>
      <c r="P46" s="187"/>
      <c r="Q46" s="148" t="str">
        <f>'4. Constituent Tolerances'!R11</f>
        <v>8/30/2016 MN: Decenter on fit-up was +/-50, is +/-60; this is consistent with the D9h7 pinned joint fit-up</v>
      </c>
      <c r="R46" s="8" t="s">
        <v>357</v>
      </c>
    </row>
    <row r="47" spans="1:18" outlineLevel="1" x14ac:dyDescent="0.25">
      <c r="B47" s="1" t="str">
        <f>'4. Constituent Tolerances'!B12</f>
        <v>Cryostat mount flange flatness</v>
      </c>
      <c r="C47" s="1">
        <f>'4. Constituent Tolerances'!C12</f>
        <v>0</v>
      </c>
      <c r="D47" s="2">
        <f>'4. Constituent Tolerances'!D12</f>
        <v>50</v>
      </c>
      <c r="E47" s="2">
        <f>'4. Constituent Tolerances'!E12</f>
        <v>1120</v>
      </c>
      <c r="F47" s="2">
        <f>'4. Constituent Tolerances'!F12</f>
        <v>28</v>
      </c>
      <c r="G47" s="3">
        <f>'4. Constituent Tolerances'!G12</f>
        <v>4.4642857142857144E-2</v>
      </c>
      <c r="H47" s="2">
        <f>'4. Constituent Tolerances'!H12</f>
        <v>25</v>
      </c>
      <c r="I47" s="2">
        <f>'4. Constituent Tolerances'!I12</f>
        <v>0</v>
      </c>
      <c r="J47" s="2">
        <f>'4. Constituent Tolerances'!J12</f>
        <v>25</v>
      </c>
      <c r="K47" s="2">
        <f>'4. Constituent Tolerances'!K12</f>
        <v>0</v>
      </c>
      <c r="L47" s="9" t="str">
        <f>'4. Constituent Tolerances'!L12</f>
        <v>Cryo</v>
      </c>
      <c r="M47" s="9" t="str">
        <f>'4. Constituent Tolerances'!M12</f>
        <v>P</v>
      </c>
      <c r="N47" s="1" t="str">
        <f>'4. Constituent Tolerances'!N12</f>
        <v>Flatness affects piston error only</v>
      </c>
      <c r="P47" s="4"/>
      <c r="R47" s="186"/>
    </row>
    <row r="48" spans="1:18" ht="30" outlineLevel="1" x14ac:dyDescent="0.25">
      <c r="B48" s="1" t="str">
        <f>'4. Constituent Tolerances'!B13</f>
        <v>Cryostat mount flange mount features</v>
      </c>
      <c r="C48" s="1" t="str">
        <f>'4. Constituent Tolerances'!C13</f>
        <v>Cryostat front flange L3 mount features</v>
      </c>
      <c r="D48" s="2">
        <f>'4. Constituent Tolerances'!D13</f>
        <v>80</v>
      </c>
      <c r="E48" s="2">
        <f>'4. Constituent Tolerances'!E13</f>
        <v>950</v>
      </c>
      <c r="F48" s="2">
        <f>'4. Constituent Tolerances'!F13</f>
        <v>938</v>
      </c>
      <c r="G48" s="3">
        <f>'4. Constituent Tolerances'!G13</f>
        <v>8.4210526315789472E-2</v>
      </c>
      <c r="H48" s="2">
        <f>'4. Constituent Tolerances'!H13</f>
        <v>40</v>
      </c>
      <c r="I48" s="2">
        <f>'4. Constituent Tolerances'!I13</f>
        <v>100</v>
      </c>
      <c r="J48" s="2">
        <f>'4. Constituent Tolerances'!J13</f>
        <v>40</v>
      </c>
      <c r="K48" s="2">
        <f>'4. Constituent Tolerances'!K13</f>
        <v>100</v>
      </c>
      <c r="L48" s="9" t="str">
        <f>'4. Constituent Tolerances'!L13</f>
        <v>Cryo</v>
      </c>
      <c r="M48" s="9" t="str">
        <f>'4. Constituent Tolerances'!M13</f>
        <v>P</v>
      </c>
      <c r="N48" s="1" t="str">
        <f>'4. Constituent Tolerances'!N13</f>
        <v>Toleranced dims of front flange pins and surface to support cylinder back flange;  support cyl and cryostat are fab'd together</v>
      </c>
      <c r="P48" s="4"/>
      <c r="R48" s="186"/>
    </row>
    <row r="49" spans="1:18" ht="30" outlineLevel="1" x14ac:dyDescent="0.25">
      <c r="B49" s="1" t="str">
        <f>'4. Constituent Tolerances'!B14</f>
        <v>Cryostat mount flange mount features</v>
      </c>
      <c r="C49" s="1" t="str">
        <f>'4. Constituent Tolerances'!C14</f>
        <v>Measurement precision wrt mount flange</v>
      </c>
      <c r="D49" s="2">
        <f>'4. Constituent Tolerances'!D14</f>
        <v>20</v>
      </c>
      <c r="E49" s="2">
        <f>'4. Constituent Tolerances'!E14</f>
        <v>950</v>
      </c>
      <c r="F49" s="2">
        <f>'4. Constituent Tolerances'!F14</f>
        <v>938</v>
      </c>
      <c r="G49" s="3">
        <f>'4. Constituent Tolerances'!G14</f>
        <v>2.1052631578947368E-2</v>
      </c>
      <c r="H49" s="2">
        <f>'4. Constituent Tolerances'!H14</f>
        <v>10</v>
      </c>
      <c r="I49" s="2">
        <f>'4. Constituent Tolerances'!I14</f>
        <v>10</v>
      </c>
      <c r="J49" s="2">
        <f>'4. Constituent Tolerances'!J14</f>
        <v>10</v>
      </c>
      <c r="K49" s="2">
        <f>'4. Constituent Tolerances'!K14</f>
        <v>10</v>
      </c>
      <c r="L49" s="9" t="str">
        <f>'4. Constituent Tolerances'!L14</f>
        <v>Cryo</v>
      </c>
      <c r="M49" s="9" t="str">
        <f>'4. Constituent Tolerances'!M14</f>
        <v>M</v>
      </c>
      <c r="N49" s="1" t="str">
        <f>'4. Constituent Tolerances'!N14</f>
        <v>Mount features are measured on a CMM so precision is very good</v>
      </c>
      <c r="P49" s="4"/>
      <c r="R49" s="186"/>
    </row>
    <row r="50" spans="1:18" ht="45" outlineLevel="1" x14ac:dyDescent="0.25">
      <c r="B50" s="1" t="str">
        <f>'4. Constituent Tolerances'!B21</f>
        <v>Grid K-C ball best-fit plane adjustment accuracy</v>
      </c>
      <c r="C50" s="1" t="str">
        <f>'4. Constituent Tolerances'!C21</f>
        <v>Cryostat front flange L3 mount features</v>
      </c>
      <c r="D50" s="2">
        <f>'4. Constituent Tolerances'!D21</f>
        <v>50</v>
      </c>
      <c r="E50" s="2">
        <f>'4. Constituent Tolerances'!E21</f>
        <v>800</v>
      </c>
      <c r="F50" s="2">
        <f>'4. Constituent Tolerances'!F21</f>
        <v>938</v>
      </c>
      <c r="G50" s="3">
        <f>'4. Constituent Tolerances'!G21</f>
        <v>6.25E-2</v>
      </c>
      <c r="H50" s="2">
        <f>'4. Constituent Tolerances'!H21</f>
        <v>25</v>
      </c>
      <c r="I50" s="2">
        <f>'4. Constituent Tolerances'!I21</f>
        <v>400</v>
      </c>
      <c r="J50" s="2">
        <f>'4. Constituent Tolerances'!J21</f>
        <v>25</v>
      </c>
      <c r="K50" s="2">
        <f>'4. Constituent Tolerances'!K21</f>
        <v>400</v>
      </c>
      <c r="L50" s="9" t="str">
        <f>'4. Constituent Tolerances'!L21</f>
        <v>Cryo</v>
      </c>
      <c r="M50" s="9" t="str">
        <f>'4. Constituent Tolerances'!M21</f>
        <v>P</v>
      </c>
      <c r="N50" s="1" t="str">
        <f>'4. Constituent Tolerances'!N21</f>
        <v>Accuracy with which the K-C best-fit plane can be moved to a pre-determined tip/tilt and Z location, by shimming flexure feet off the cryostat front flange</v>
      </c>
      <c r="P50" s="4"/>
      <c r="R50" s="186"/>
    </row>
    <row r="51" spans="1:18" ht="30" outlineLevel="1" x14ac:dyDescent="0.25">
      <c r="B51" s="1" t="str">
        <f>'4. Constituent Tolerances'!B23</f>
        <v>Grid K-C ball best-fit plane</v>
      </c>
      <c r="C51" s="1" t="str">
        <f>'4. Constituent Tolerances'!C23</f>
        <v>Metrology precision and best-fit plane definition error of K-C ball plane</v>
      </c>
      <c r="D51" s="145">
        <f>'4. Constituent Tolerances'!D23</f>
        <v>0.6</v>
      </c>
      <c r="E51" s="2">
        <f>'4. Constituent Tolerances'!E23</f>
        <v>800</v>
      </c>
      <c r="F51" s="2">
        <f>'4. Constituent Tolerances'!F23</f>
        <v>938</v>
      </c>
      <c r="G51" s="3">
        <f>'4. Constituent Tolerances'!G23</f>
        <v>7.5000000000000002E-4</v>
      </c>
      <c r="H51" s="145">
        <f>'4. Constituent Tolerances'!H23</f>
        <v>0.3</v>
      </c>
      <c r="I51" s="2">
        <f>'4. Constituent Tolerances'!I23</f>
        <v>0</v>
      </c>
      <c r="J51" s="145">
        <f>'4. Constituent Tolerances'!J23</f>
        <v>0.3</v>
      </c>
      <c r="K51" s="2">
        <f>'4. Constituent Tolerances'!K23</f>
        <v>0</v>
      </c>
      <c r="L51" s="9" t="str">
        <f>'4. Constituent Tolerances'!L23</f>
        <v>Cryo</v>
      </c>
      <c r="M51" s="9" t="str">
        <f>'4. Constituent Tolerances'!M23</f>
        <v>M</v>
      </c>
      <c r="N51" s="1" t="str">
        <f>'4. Constituent Tolerances'!N23</f>
        <v>Measurement precision of metrology system and imprecision of best-fit plane definition</v>
      </c>
      <c r="P51" s="4"/>
      <c r="R51" s="186"/>
    </row>
    <row r="52" spans="1:18" ht="45" outlineLevel="1" x14ac:dyDescent="0.25">
      <c r="B52" s="1" t="str">
        <f>'4. Constituent Tolerances'!B24</f>
        <v>Grid K-C ball best-fit plane</v>
      </c>
      <c r="C52" s="1" t="str">
        <f>'4. Constituent Tolerances'!C24</f>
        <v>Measurement precision wrt Cryostat front flange L3 mount features</v>
      </c>
      <c r="D52" s="2">
        <f>'4. Constituent Tolerances'!D24</f>
        <v>20</v>
      </c>
      <c r="E52" s="2">
        <f>'4. Constituent Tolerances'!E24</f>
        <v>800</v>
      </c>
      <c r="F52" s="2">
        <f>'4. Constituent Tolerances'!F24</f>
        <v>938</v>
      </c>
      <c r="G52" s="3">
        <f>'4. Constituent Tolerances'!G24</f>
        <v>2.5000000000000001E-2</v>
      </c>
      <c r="H52" s="2">
        <f>'4. Constituent Tolerances'!H24</f>
        <v>10</v>
      </c>
      <c r="I52" s="2">
        <f>'4. Constituent Tolerances'!I24</f>
        <v>100</v>
      </c>
      <c r="J52" s="2">
        <f>'4. Constituent Tolerances'!J24</f>
        <v>10</v>
      </c>
      <c r="K52" s="2">
        <f>'4. Constituent Tolerances'!K24</f>
        <v>100</v>
      </c>
      <c r="L52" s="9" t="str">
        <f>'4. Constituent Tolerances'!L24</f>
        <v>Cryo</v>
      </c>
      <c r="M52" s="9" t="str">
        <f>'4. Constituent Tolerances'!M24</f>
        <v>M</v>
      </c>
      <c r="N52" s="1" t="str">
        <f>'4. Constituent Tolerances'!N24</f>
        <v>Precision of the tie-in of the location of the K-C ball best-fit plane to the L3 interface mount features on the cryostat front flange</v>
      </c>
      <c r="P52" s="4"/>
      <c r="R52" s="186"/>
    </row>
    <row r="53" spans="1:18" ht="45" customHeight="1" outlineLevel="1" x14ac:dyDescent="0.25">
      <c r="A53" s="347">
        <v>43032</v>
      </c>
      <c r="B53" s="234" t="str">
        <f>'4. Constituent Tolerances'!B26</f>
        <v>Grid K-C ball best-fit plane</v>
      </c>
      <c r="C53" s="234" t="str">
        <f>'4. Constituent Tolerances'!C26</f>
        <v>Measurement precision on position of grid fiducial posts</v>
      </c>
      <c r="D53" s="235">
        <f>'4. Constituent Tolerances'!D26</f>
        <v>0</v>
      </c>
      <c r="E53" s="235">
        <f>'4. Constituent Tolerances'!E26</f>
        <v>800</v>
      </c>
      <c r="F53" s="235">
        <f>'4. Constituent Tolerances'!F26</f>
        <v>938</v>
      </c>
      <c r="G53" s="339">
        <f>'4. Constituent Tolerances'!G26</f>
        <v>0</v>
      </c>
      <c r="H53" s="235">
        <f>'4. Constituent Tolerances'!H26</f>
        <v>20</v>
      </c>
      <c r="I53" s="235">
        <f>'4. Constituent Tolerances'!I26</f>
        <v>0</v>
      </c>
      <c r="J53" s="149">
        <f>'4. Constituent Tolerances'!J26</f>
        <v>20</v>
      </c>
      <c r="K53" s="149">
        <f>'4. Constituent Tolerances'!K26</f>
        <v>0</v>
      </c>
      <c r="L53" s="345" t="str">
        <f>'4. Constituent Tolerances'!L26</f>
        <v>Cryo</v>
      </c>
      <c r="M53" s="345" t="str">
        <f>'4. Constituent Tolerances'!M26</f>
        <v>M</v>
      </c>
      <c r="N53" s="234" t="str">
        <f>'4. Constituent Tolerances'!N26</f>
        <v>Precision of measurement of grid fiducial posts from K-C plane; these are used as tie-ins to L3 interface surface and add to overall measurement error</v>
      </c>
      <c r="P53" s="4"/>
      <c r="R53" s="346" t="s">
        <v>493</v>
      </c>
    </row>
    <row r="54" spans="1:18" ht="30" outlineLevel="1" x14ac:dyDescent="0.25">
      <c r="B54" s="1" t="str">
        <f>'4. Constituent Tolerances'!B15</f>
        <v>Cryostat mount flange mount features</v>
      </c>
      <c r="C54" s="1" t="str">
        <f>'4. Constituent Tolerances'!C15</f>
        <v>Cryostat front flange SMR position measurement precision</v>
      </c>
      <c r="D54" s="2">
        <f>'4. Constituent Tolerances'!D15</f>
        <v>20</v>
      </c>
      <c r="E54" s="2">
        <f>'4. Constituent Tolerances'!E15</f>
        <v>950</v>
      </c>
      <c r="F54" s="2">
        <f>'4. Constituent Tolerances'!F15</f>
        <v>938</v>
      </c>
      <c r="G54" s="3">
        <f>'4. Constituent Tolerances'!G15</f>
        <v>2.1052631578947368E-2</v>
      </c>
      <c r="H54" s="2">
        <f>'4. Constituent Tolerances'!H15</f>
        <v>10</v>
      </c>
      <c r="I54" s="2">
        <f>'4. Constituent Tolerances'!I15</f>
        <v>10</v>
      </c>
      <c r="J54" s="2">
        <f>'4. Constituent Tolerances'!J15</f>
        <v>10</v>
      </c>
      <c r="K54" s="2">
        <f>'4. Constituent Tolerances'!K15</f>
        <v>10</v>
      </c>
      <c r="L54" s="9" t="str">
        <f>'4. Constituent Tolerances'!L15</f>
        <v>Cryo</v>
      </c>
      <c r="M54" s="9" t="str">
        <f>'4. Constituent Tolerances'!M15</f>
        <v>M</v>
      </c>
      <c r="N54" s="1" t="str">
        <f>'4. Constituent Tolerances'!N15</f>
        <v>SMR locations are measured on a CMM so precision is very good</v>
      </c>
      <c r="P54" s="4"/>
    </row>
    <row r="55" spans="1:18" s="104" customFormat="1" ht="30" x14ac:dyDescent="0.25">
      <c r="A55" s="91"/>
      <c r="B55" s="92"/>
      <c r="C55" s="116" t="s">
        <v>484</v>
      </c>
      <c r="D55" s="117"/>
      <c r="E55" s="117"/>
      <c r="F55" s="118" t="s">
        <v>58</v>
      </c>
      <c r="G55" s="119">
        <f>SQRT(SUMSQ(G43:G54))</f>
        <v>0.14159057398634639</v>
      </c>
      <c r="H55" s="118">
        <f>SQRT(SUMSQ(H43:H54))</f>
        <v>82.765270494332341</v>
      </c>
      <c r="I55" s="120">
        <f>SQRT(SUMSQ(I43:I54))</f>
        <v>446.68221365977848</v>
      </c>
      <c r="J55" s="118">
        <f>SQRT(SUMSQ(J43:J54))</f>
        <v>82.765270494332341</v>
      </c>
      <c r="K55" s="120">
        <f>SQRT(SUMSQ(K43:K54))</f>
        <v>446.68221365977848</v>
      </c>
      <c r="L55" s="91"/>
      <c r="M55" s="91"/>
      <c r="N55" s="92"/>
      <c r="P55" s="92"/>
      <c r="Q55" s="170"/>
      <c r="R55" s="344" t="s">
        <v>485</v>
      </c>
    </row>
    <row r="56" spans="1:18" s="104" customFormat="1" ht="43.5" customHeight="1" x14ac:dyDescent="0.25">
      <c r="A56" s="91"/>
      <c r="B56" s="92"/>
      <c r="C56" s="121"/>
      <c r="D56" s="122"/>
      <c r="E56" s="122"/>
      <c r="F56" s="123" t="s">
        <v>59</v>
      </c>
      <c r="G56" s="124">
        <f>SUM(G43:G54)</f>
        <v>0.35168984962406014</v>
      </c>
      <c r="H56" s="123">
        <f>SUM(H43:H54)</f>
        <v>230.3</v>
      </c>
      <c r="I56" s="125">
        <f>SUM(I43:I54)</f>
        <v>815</v>
      </c>
      <c r="J56" s="123">
        <f>SUM(J43:J54)</f>
        <v>230.3</v>
      </c>
      <c r="K56" s="125">
        <f>SUM(K43:K54)</f>
        <v>815</v>
      </c>
      <c r="L56" s="91"/>
      <c r="M56" s="91"/>
      <c r="N56" s="92"/>
      <c r="P56" s="92"/>
      <c r="Q56" s="170"/>
      <c r="R56" s="344" t="s">
        <v>486</v>
      </c>
    </row>
    <row r="57" spans="1:18" s="104" customFormat="1" ht="30" x14ac:dyDescent="0.25">
      <c r="A57" s="91"/>
      <c r="B57" s="92"/>
      <c r="C57" s="116" t="s">
        <v>60</v>
      </c>
      <c r="D57" s="117"/>
      <c r="E57" s="117"/>
      <c r="F57" s="118" t="s">
        <v>58</v>
      </c>
      <c r="G57" s="119"/>
      <c r="H57" s="118"/>
      <c r="I57" s="120">
        <f>G55*F52</f>
        <v>132.81195839919292</v>
      </c>
      <c r="J57" s="118"/>
      <c r="K57" s="120">
        <f>I55*H52</f>
        <v>4466.8221365977852</v>
      </c>
      <c r="L57" s="91"/>
      <c r="M57" s="91"/>
      <c r="N57" s="92"/>
      <c r="P57" s="92"/>
      <c r="Q57" s="170"/>
      <c r="R57" s="344" t="s">
        <v>487</v>
      </c>
    </row>
    <row r="58" spans="1:18" s="104" customFormat="1" ht="39.75" customHeight="1" x14ac:dyDescent="0.25">
      <c r="A58" s="91"/>
      <c r="B58" s="92"/>
      <c r="C58" s="121"/>
      <c r="D58" s="122"/>
      <c r="E58" s="122"/>
      <c r="F58" s="123" t="s">
        <v>59</v>
      </c>
      <c r="G58" s="124"/>
      <c r="H58" s="123"/>
      <c r="I58" s="125">
        <f>G56*F52</f>
        <v>329.88507894736841</v>
      </c>
      <c r="J58" s="123"/>
      <c r="K58" s="125">
        <f>I56*H52</f>
        <v>8150</v>
      </c>
      <c r="L58" s="91"/>
      <c r="M58" s="91"/>
      <c r="N58" s="92"/>
      <c r="P58" s="92"/>
      <c r="Q58" s="170"/>
      <c r="R58" s="344" t="s">
        <v>487</v>
      </c>
    </row>
    <row r="59" spans="1:18" x14ac:dyDescent="0.25">
      <c r="B59" s="92"/>
      <c r="C59" s="92"/>
      <c r="D59" s="102"/>
      <c r="E59" s="102"/>
      <c r="F59" s="102"/>
      <c r="G59" s="103"/>
      <c r="H59" s="102"/>
      <c r="I59" s="102"/>
      <c r="J59" s="102"/>
      <c r="K59" s="102"/>
      <c r="L59" s="91"/>
      <c r="M59" s="91"/>
      <c r="N59" s="92"/>
      <c r="P59" s="4"/>
      <c r="R59" s="186"/>
    </row>
    <row r="60" spans="1:18" ht="45" x14ac:dyDescent="0.25">
      <c r="B60" s="93" t="s">
        <v>243</v>
      </c>
      <c r="C60" s="94"/>
      <c r="D60" s="13"/>
      <c r="E60" s="13"/>
      <c r="F60" s="13"/>
      <c r="G60" s="13"/>
      <c r="H60" s="13"/>
      <c r="I60" s="13"/>
      <c r="J60" s="13"/>
      <c r="K60" s="13"/>
      <c r="L60" s="94"/>
      <c r="M60" s="94"/>
      <c r="N60" s="95" t="s">
        <v>63</v>
      </c>
      <c r="P60" s="92" t="s">
        <v>225</v>
      </c>
    </row>
    <row r="61" spans="1:18" ht="45" outlineLevel="1" x14ac:dyDescent="0.25">
      <c r="B61" s="1" t="str">
        <f>'4. Constituent Tolerances'!B21</f>
        <v>Grid K-C ball best-fit plane adjustment accuracy</v>
      </c>
      <c r="C61" s="1" t="str">
        <f>'4. Constituent Tolerances'!C21</f>
        <v>Cryostat front flange L3 mount features</v>
      </c>
      <c r="D61" s="2">
        <f>'4. Constituent Tolerances'!D21</f>
        <v>50</v>
      </c>
      <c r="E61" s="2">
        <f>'4. Constituent Tolerances'!E21</f>
        <v>800</v>
      </c>
      <c r="F61" s="2">
        <f>'4. Constituent Tolerances'!F21</f>
        <v>938</v>
      </c>
      <c r="G61" s="3">
        <f>'4. Constituent Tolerances'!G21</f>
        <v>6.25E-2</v>
      </c>
      <c r="H61" s="2">
        <f>'4. Constituent Tolerances'!H21</f>
        <v>25</v>
      </c>
      <c r="I61" s="2">
        <f>'4. Constituent Tolerances'!I21</f>
        <v>400</v>
      </c>
      <c r="J61" s="149">
        <f>'4. Constituent Tolerances'!J21</f>
        <v>25</v>
      </c>
      <c r="K61" s="149">
        <f>'4. Constituent Tolerances'!K21</f>
        <v>400</v>
      </c>
      <c r="L61" s="9" t="str">
        <f>'4. Constituent Tolerances'!L21</f>
        <v>Cryo</v>
      </c>
      <c r="M61" s="9" t="str">
        <f>'4. Constituent Tolerances'!M21</f>
        <v>P</v>
      </c>
      <c r="N61" s="1" t="str">
        <f>'4. Constituent Tolerances'!N21</f>
        <v>Accuracy with which the K-C best-fit plane can be moved to a pre-determined tip/tilt and Z location, by shimming flexure feet off the cryostat front flange</v>
      </c>
      <c r="P61" s="4"/>
    </row>
    <row r="62" spans="1:18" ht="30" outlineLevel="1" x14ac:dyDescent="0.25">
      <c r="A62" s="189">
        <v>42401</v>
      </c>
      <c r="B62" s="1" t="str">
        <f>'4. Constituent Tolerances'!B23</f>
        <v>Grid K-C ball best-fit plane</v>
      </c>
      <c r="C62" s="1" t="str">
        <f>'4. Constituent Tolerances'!C23</f>
        <v>Metrology precision and best-fit plane definition error of K-C ball plane</v>
      </c>
      <c r="D62" s="145">
        <f>'4. Constituent Tolerances'!D23</f>
        <v>0.6</v>
      </c>
      <c r="E62" s="2">
        <f>'4. Constituent Tolerances'!E23</f>
        <v>800</v>
      </c>
      <c r="F62" s="2">
        <f>'4. Constituent Tolerances'!F23</f>
        <v>938</v>
      </c>
      <c r="G62" s="3">
        <f>'4. Constituent Tolerances'!G23</f>
        <v>7.5000000000000002E-4</v>
      </c>
      <c r="H62" s="2">
        <f>'4. Constituent Tolerances'!H23</f>
        <v>0.3</v>
      </c>
      <c r="I62" s="2">
        <f>'4. Constituent Tolerances'!I23</f>
        <v>0</v>
      </c>
      <c r="J62" s="149">
        <f>'4. Constituent Tolerances'!J23</f>
        <v>0.3</v>
      </c>
      <c r="K62" s="149">
        <f>'4. Constituent Tolerances'!K23</f>
        <v>0</v>
      </c>
      <c r="L62" s="9" t="str">
        <f>'4. Constituent Tolerances'!L23</f>
        <v>Cryo</v>
      </c>
      <c r="M62" s="9" t="str">
        <f>'4. Constituent Tolerances'!M23</f>
        <v>M</v>
      </c>
      <c r="N62" s="1" t="str">
        <f>'4. Constituent Tolerances'!N23</f>
        <v>Measurement precision of metrology system and imprecision of best-fit plane definition</v>
      </c>
      <c r="P62" s="4"/>
    </row>
    <row r="63" spans="1:18" ht="45" outlineLevel="1" x14ac:dyDescent="0.25">
      <c r="B63" s="1" t="str">
        <f>'4. Constituent Tolerances'!B24</f>
        <v>Grid K-C ball best-fit plane</v>
      </c>
      <c r="C63" s="1" t="str">
        <f>'4. Constituent Tolerances'!C24</f>
        <v>Measurement precision wrt Cryostat front flange L3 mount features</v>
      </c>
      <c r="D63" s="2">
        <f>'4. Constituent Tolerances'!D24</f>
        <v>20</v>
      </c>
      <c r="E63" s="2">
        <f>'4. Constituent Tolerances'!E24</f>
        <v>800</v>
      </c>
      <c r="F63" s="2">
        <f>'4. Constituent Tolerances'!F24</f>
        <v>938</v>
      </c>
      <c r="G63" s="3">
        <f>'4. Constituent Tolerances'!G24</f>
        <v>2.5000000000000001E-2</v>
      </c>
      <c r="H63" s="2">
        <f>'4. Constituent Tolerances'!H24</f>
        <v>10</v>
      </c>
      <c r="I63" s="2">
        <f>'4. Constituent Tolerances'!I24</f>
        <v>100</v>
      </c>
      <c r="J63" s="149">
        <f>'4. Constituent Tolerances'!J24</f>
        <v>10</v>
      </c>
      <c r="K63" s="149">
        <f>'4. Constituent Tolerances'!K24</f>
        <v>100</v>
      </c>
      <c r="L63" s="9" t="str">
        <f>'4. Constituent Tolerances'!L24</f>
        <v>Cryo</v>
      </c>
      <c r="M63" s="9" t="str">
        <f>'4. Constituent Tolerances'!M24</f>
        <v>M</v>
      </c>
      <c r="N63" s="1" t="str">
        <f>'4. Constituent Tolerances'!N24</f>
        <v>Precision of the tie-in of the location of the K-C ball best-fit plane to the L3 interface mount features on the cryostat front flange</v>
      </c>
      <c r="P63" s="4"/>
    </row>
    <row r="64" spans="1:18" ht="45" outlineLevel="1" x14ac:dyDescent="0.25">
      <c r="A64" s="347">
        <v>43032</v>
      </c>
      <c r="B64" s="234" t="str">
        <f>'4. Constituent Tolerances'!B26</f>
        <v>Grid K-C ball best-fit plane</v>
      </c>
      <c r="C64" s="234" t="str">
        <f>'4. Constituent Tolerances'!C26</f>
        <v>Measurement precision on position of grid fiducial posts</v>
      </c>
      <c r="D64" s="235">
        <f>'4. Constituent Tolerances'!D26</f>
        <v>0</v>
      </c>
      <c r="E64" s="235">
        <f>'4. Constituent Tolerances'!E26</f>
        <v>800</v>
      </c>
      <c r="F64" s="235">
        <f>'4. Constituent Tolerances'!F26</f>
        <v>938</v>
      </c>
      <c r="G64" s="339">
        <f>'4. Constituent Tolerances'!G26</f>
        <v>0</v>
      </c>
      <c r="H64" s="235">
        <f>'4. Constituent Tolerances'!H26</f>
        <v>20</v>
      </c>
      <c r="I64" s="235">
        <f>'4. Constituent Tolerances'!I26</f>
        <v>0</v>
      </c>
      <c r="J64" s="149">
        <f>'4. Constituent Tolerances'!J26</f>
        <v>20</v>
      </c>
      <c r="K64" s="149">
        <f>'4. Constituent Tolerances'!K26</f>
        <v>0</v>
      </c>
      <c r="L64" s="345" t="str">
        <f>'4. Constituent Tolerances'!L26</f>
        <v>Cryo</v>
      </c>
      <c r="M64" s="345" t="str">
        <f>'4. Constituent Tolerances'!M26</f>
        <v>M</v>
      </c>
      <c r="N64" s="234" t="str">
        <f>'4. Constituent Tolerances'!N26</f>
        <v>Precision of measurement of grid fiducial posts from K-C plane; these are used as tie-ins to L3 interface surface and add to overall measurement error</v>
      </c>
      <c r="P64" s="4"/>
      <c r="R64" s="346" t="s">
        <v>493</v>
      </c>
    </row>
    <row r="65" spans="1:18" ht="30" outlineLevel="1" x14ac:dyDescent="0.25">
      <c r="B65" s="1" t="str">
        <f>'4. Constituent Tolerances'!B15</f>
        <v>Cryostat mount flange mount features</v>
      </c>
      <c r="C65" s="1" t="str">
        <f>'4. Constituent Tolerances'!C15</f>
        <v>Cryostat front flange SMR position measurement precision</v>
      </c>
      <c r="D65" s="2">
        <f>'4. Constituent Tolerances'!D15</f>
        <v>20</v>
      </c>
      <c r="E65" s="2">
        <f>'4. Constituent Tolerances'!E15</f>
        <v>950</v>
      </c>
      <c r="F65" s="2">
        <f>'4. Constituent Tolerances'!F15</f>
        <v>938</v>
      </c>
      <c r="G65" s="3">
        <f>'4. Constituent Tolerances'!G15</f>
        <v>2.1052631578947368E-2</v>
      </c>
      <c r="H65" s="2">
        <f>'4. Constituent Tolerances'!H15</f>
        <v>10</v>
      </c>
      <c r="I65" s="2">
        <f>'4. Constituent Tolerances'!I15</f>
        <v>10</v>
      </c>
      <c r="J65" s="149">
        <f>'4. Constituent Tolerances'!J15</f>
        <v>10</v>
      </c>
      <c r="K65" s="149">
        <f>'4. Constituent Tolerances'!K15</f>
        <v>10</v>
      </c>
      <c r="L65" s="9" t="str">
        <f>'4. Constituent Tolerances'!L15</f>
        <v>Cryo</v>
      </c>
      <c r="M65" s="9" t="str">
        <f>'4. Constituent Tolerances'!M15</f>
        <v>M</v>
      </c>
      <c r="N65" s="1" t="str">
        <f>'4. Constituent Tolerances'!N15</f>
        <v>SMR locations are measured on a CMM so precision is very good</v>
      </c>
      <c r="P65" s="4"/>
    </row>
    <row r="66" spans="1:18" outlineLevel="1" x14ac:dyDescent="0.25">
      <c r="B66" s="1" t="str">
        <f>'4. Constituent Tolerances'!B45</f>
        <v>Cryostat front flange L3 mount features</v>
      </c>
      <c r="C66" s="1" t="str">
        <f>'4. Constituent Tolerances'!C45</f>
        <v>L3 flange fit-up repeatability</v>
      </c>
      <c r="D66" s="2">
        <f>'4. Constituent Tolerances'!D45</f>
        <v>0</v>
      </c>
      <c r="E66" s="2">
        <f>'4. Constituent Tolerances'!E45</f>
        <v>950</v>
      </c>
      <c r="F66" s="2">
        <f>'4. Constituent Tolerances'!F45</f>
        <v>938</v>
      </c>
      <c r="G66" s="3">
        <f>'4. Constituent Tolerances'!G45</f>
        <v>0</v>
      </c>
      <c r="H66" s="2">
        <f>'4. Constituent Tolerances'!H45</f>
        <v>0</v>
      </c>
      <c r="I66" s="2">
        <f>'4. Constituent Tolerances'!I45</f>
        <v>50</v>
      </c>
      <c r="J66" s="149">
        <f>'4. Constituent Tolerances'!J45</f>
        <v>0</v>
      </c>
      <c r="K66" s="149">
        <f>'4. Constituent Tolerances'!K45</f>
        <v>50</v>
      </c>
      <c r="L66" s="9" t="str">
        <f>'4. Constituent Tolerances'!L45</f>
        <v>I&amp;T</v>
      </c>
      <c r="M66" s="9" t="str">
        <f>'4. Constituent Tolerances'!M45</f>
        <v>P</v>
      </c>
      <c r="N66" s="1" t="str">
        <f>'4. Constituent Tolerances'!N45</f>
        <v>Slop in pin clearances; no tip/tilt repeatability errors</v>
      </c>
      <c r="P66" s="4"/>
    </row>
    <row r="67" spans="1:18" ht="45" outlineLevel="1" x14ac:dyDescent="0.25">
      <c r="A67" s="189">
        <v>42391</v>
      </c>
      <c r="B67" s="1" t="str">
        <f>'4. Constituent Tolerances'!B42</f>
        <v>L3 optical axis</v>
      </c>
      <c r="C67" s="1" t="str">
        <f>'4. Constituent Tolerances'!C42</f>
        <v>L3 flange interface datum features</v>
      </c>
      <c r="D67" s="2">
        <f>'4. Constituent Tolerances'!D42</f>
        <v>0</v>
      </c>
      <c r="E67" s="2">
        <f>'4. Constituent Tolerances'!E42</f>
        <v>950</v>
      </c>
      <c r="F67" s="2">
        <f>'4. Constituent Tolerances'!F42</f>
        <v>995</v>
      </c>
      <c r="G67" s="3">
        <f>'4. Constituent Tolerances'!G42</f>
        <v>0.09</v>
      </c>
      <c r="H67" s="2">
        <f>'4. Constituent Tolerances'!H42</f>
        <v>50</v>
      </c>
      <c r="I67" s="2">
        <f>'4. Constituent Tolerances'!I42</f>
        <v>80</v>
      </c>
      <c r="J67" s="149">
        <f>'4. Constituent Tolerances'!J42</f>
        <v>50</v>
      </c>
      <c r="K67" s="149">
        <f>'4. Constituent Tolerances'!K42</f>
        <v>80</v>
      </c>
      <c r="L67" s="9" t="str">
        <f>'4. Constituent Tolerances'!L42</f>
        <v>Opt</v>
      </c>
      <c r="M67" s="9" t="str">
        <f>'4. Constituent Tolerances'!M42</f>
        <v>M</v>
      </c>
      <c r="N67" s="1" t="str">
        <f>'4. Constituent Tolerances'!N42</f>
        <v>Accuracy of measuring and aligning the L3 optic in the flange, with respect to the flange interface features; includes all null test set-up and inspection tolerances, and flange fab tolerances</v>
      </c>
      <c r="P67" s="4"/>
    </row>
    <row r="68" spans="1:18" ht="45" outlineLevel="1" x14ac:dyDescent="0.25">
      <c r="B68" s="1" t="str">
        <f>'4. Constituent Tolerances'!B43</f>
        <v>L3 flange interface datum features</v>
      </c>
      <c r="C68" s="1" t="str">
        <f>'4. Constituent Tolerances'!C43</f>
        <v>L3 flange SMR measurement precision, position stability</v>
      </c>
      <c r="D68" s="2">
        <f>'4. Constituent Tolerances'!D43</f>
        <v>0</v>
      </c>
      <c r="E68" s="2">
        <f>'4. Constituent Tolerances'!E43</f>
        <v>950</v>
      </c>
      <c r="F68" s="2">
        <f>'4. Constituent Tolerances'!F43</f>
        <v>995</v>
      </c>
      <c r="G68" s="3">
        <f>'4. Constituent Tolerances'!G43</f>
        <v>3.5000000000000003E-2</v>
      </c>
      <c r="H68" s="2">
        <f>'4. Constituent Tolerances'!H43</f>
        <v>35</v>
      </c>
      <c r="I68" s="2">
        <f>'4. Constituent Tolerances'!I43</f>
        <v>35</v>
      </c>
      <c r="J68" s="149">
        <f>'4. Constituent Tolerances'!J43</f>
        <v>35</v>
      </c>
      <c r="K68" s="149">
        <f>'4. Constituent Tolerances'!K43</f>
        <v>35</v>
      </c>
      <c r="L68" s="9" t="str">
        <f>'4. Constituent Tolerances'!L43</f>
        <v>Opt</v>
      </c>
      <c r="M68" s="9" t="str">
        <f>'4. Constituent Tolerances'!M43</f>
        <v>M</v>
      </c>
      <c r="N68" s="1" t="str">
        <f>'4. Constituent Tolerances'!N43</f>
        <v>Includes measurement precision of SMRs wrt L3 optical axis and stability/ reproducibility of SMR mounting and measurement off of L3 flange</v>
      </c>
      <c r="P68" s="4"/>
    </row>
    <row r="69" spans="1:18" ht="30" outlineLevel="1" x14ac:dyDescent="0.25">
      <c r="B69" s="1" t="str">
        <f>'4. Constituent Tolerances'!B44</f>
        <v>L3 flange SMR position measurement</v>
      </c>
      <c r="C69" s="1" t="str">
        <f>'4. Constituent Tolerances'!C44</f>
        <v>Survey precision to laser tracker world coordinate system</v>
      </c>
      <c r="D69" s="2">
        <f>'4. Constituent Tolerances'!D44</f>
        <v>50</v>
      </c>
      <c r="E69" s="2">
        <f>'4. Constituent Tolerances'!E44</f>
        <v>950</v>
      </c>
      <c r="F69" s="2">
        <f>'4. Constituent Tolerances'!F44</f>
        <v>995</v>
      </c>
      <c r="G69" s="3">
        <f>'4. Constituent Tolerances'!G44</f>
        <v>5.2631578947368418E-2</v>
      </c>
      <c r="H69" s="2">
        <f>'4. Constituent Tolerances'!H44</f>
        <v>50</v>
      </c>
      <c r="I69" s="2">
        <f>'4. Constituent Tolerances'!I44</f>
        <v>50</v>
      </c>
      <c r="J69" s="149">
        <f>'4. Constituent Tolerances'!J44</f>
        <v>50</v>
      </c>
      <c r="K69" s="149">
        <f>'4. Constituent Tolerances'!K44</f>
        <v>50</v>
      </c>
      <c r="L69" s="9" t="str">
        <f>'4. Constituent Tolerances'!L44</f>
        <v>I&amp;T</v>
      </c>
      <c r="M69" s="9" t="str">
        <f>'4. Constituent Tolerances'!M44</f>
        <v>M</v>
      </c>
      <c r="N69" s="1" t="str">
        <f>'4. Constituent Tolerances'!N44</f>
        <v>Precision of position survey of L3 fiducials</v>
      </c>
      <c r="P69" s="4"/>
    </row>
    <row r="70" spans="1:18" s="104" customFormat="1" ht="30" x14ac:dyDescent="0.25">
      <c r="A70" s="189">
        <v>42391</v>
      </c>
      <c r="B70" s="92"/>
      <c r="C70" s="116" t="s">
        <v>153</v>
      </c>
      <c r="D70" s="117"/>
      <c r="E70" s="117"/>
      <c r="F70" s="118" t="s">
        <v>58</v>
      </c>
      <c r="G70" s="119">
        <f>SQRT(SUMSQ(G61:G69))</f>
        <v>0.13065262683502374</v>
      </c>
      <c r="H70" s="118">
        <f>SQRT(SUMSQ(H61:H69))</f>
        <v>86.313903862587523</v>
      </c>
      <c r="I70" s="194">
        <v>0</v>
      </c>
      <c r="J70" s="118">
        <f>SQRT(SUMSQ(J61:J69))</f>
        <v>86.313903862587523</v>
      </c>
      <c r="K70" s="120">
        <v>0</v>
      </c>
      <c r="L70" s="91"/>
      <c r="M70" s="91"/>
      <c r="N70" s="92"/>
      <c r="P70" s="92"/>
      <c r="Q70" s="92"/>
      <c r="R70"/>
    </row>
    <row r="71" spans="1:18" s="104" customFormat="1" x14ac:dyDescent="0.25">
      <c r="A71" s="91"/>
      <c r="B71" s="92"/>
      <c r="C71" s="121"/>
      <c r="D71" s="122"/>
      <c r="E71" s="122"/>
      <c r="F71" s="123" t="s">
        <v>59</v>
      </c>
      <c r="G71" s="124">
        <f>SUM(G61:G69)</f>
        <v>0.28693421052631574</v>
      </c>
      <c r="H71" s="123">
        <f>SUM(H61:H69)</f>
        <v>200.3</v>
      </c>
      <c r="I71" s="195">
        <v>0</v>
      </c>
      <c r="J71" s="123">
        <f>SUM(J61:J69)</f>
        <v>200.3</v>
      </c>
      <c r="K71" s="125">
        <v>0</v>
      </c>
      <c r="L71" s="91"/>
      <c r="M71" s="91"/>
      <c r="N71" s="92"/>
      <c r="P71" s="92"/>
      <c r="Q71" s="92"/>
      <c r="R71"/>
    </row>
    <row r="72" spans="1:18" x14ac:dyDescent="0.25">
      <c r="B72" s="92"/>
      <c r="C72" s="92"/>
      <c r="D72" s="102"/>
      <c r="E72" s="102"/>
      <c r="F72" s="102"/>
      <c r="G72" s="103"/>
      <c r="H72" s="102"/>
      <c r="I72" s="102"/>
      <c r="J72" s="102"/>
      <c r="K72" s="102"/>
      <c r="L72" s="91"/>
      <c r="M72" s="91"/>
      <c r="N72" s="92"/>
      <c r="P72" s="4"/>
    </row>
    <row r="73" spans="1:18" ht="45.75" customHeight="1" x14ac:dyDescent="0.25">
      <c r="B73" s="105" t="s">
        <v>245</v>
      </c>
      <c r="C73" s="106"/>
      <c r="D73" s="107"/>
      <c r="E73" s="107"/>
      <c r="F73" s="107"/>
      <c r="G73" s="107"/>
      <c r="H73" s="107"/>
      <c r="I73" s="107"/>
      <c r="J73" s="107"/>
      <c r="K73" s="107"/>
      <c r="L73" s="106"/>
      <c r="M73" s="106"/>
      <c r="N73" s="15" t="s">
        <v>227</v>
      </c>
      <c r="P73" s="4" t="s">
        <v>228</v>
      </c>
      <c r="Q73" s="234" t="s">
        <v>345</v>
      </c>
      <c r="R73" s="8" t="s">
        <v>357</v>
      </c>
    </row>
    <row r="74" spans="1:18" outlineLevel="1" x14ac:dyDescent="0.25">
      <c r="B74" s="108" t="s">
        <v>61</v>
      </c>
      <c r="C74" s="109"/>
      <c r="D74" s="99"/>
      <c r="E74" s="99"/>
      <c r="F74" s="99"/>
      <c r="G74" s="100"/>
      <c r="H74" s="99"/>
      <c r="I74" s="99"/>
      <c r="J74" s="99"/>
      <c r="K74" s="99"/>
      <c r="L74" s="101"/>
      <c r="M74" s="101"/>
      <c r="N74" s="112"/>
      <c r="P74" s="4"/>
      <c r="Q74"/>
    </row>
    <row r="75" spans="1:18" outlineLevel="1" x14ac:dyDescent="0.25">
      <c r="B75" s="110" t="s">
        <v>62</v>
      </c>
      <c r="C75" s="111"/>
      <c r="D75" s="96"/>
      <c r="E75" s="96"/>
      <c r="F75" s="96"/>
      <c r="G75" s="97"/>
      <c r="H75" s="96"/>
      <c r="I75" s="96"/>
      <c r="J75" s="96"/>
      <c r="K75" s="96"/>
      <c r="L75" s="98"/>
      <c r="M75" s="98"/>
      <c r="N75" s="113"/>
      <c r="P75" s="4"/>
      <c r="Q75"/>
    </row>
    <row r="76" spans="1:18" s="104" customFormat="1" ht="45" x14ac:dyDescent="0.25">
      <c r="A76" s="91"/>
      <c r="B76" s="154" t="s">
        <v>226</v>
      </c>
      <c r="C76" s="126" t="s">
        <v>245</v>
      </c>
      <c r="D76" s="127"/>
      <c r="E76" s="127"/>
      <c r="F76" s="128" t="s">
        <v>58</v>
      </c>
      <c r="G76" s="129">
        <f>G55</f>
        <v>0.14159057398634639</v>
      </c>
      <c r="H76" s="128">
        <f>H55</f>
        <v>82.765270494332341</v>
      </c>
      <c r="I76" s="130">
        <f>I39</f>
        <v>205.06096654409879</v>
      </c>
      <c r="J76" s="128">
        <f>J55</f>
        <v>82.765270494332341</v>
      </c>
      <c r="K76" s="130">
        <f>K39</f>
        <v>205.06096654409879</v>
      </c>
      <c r="L76" s="91"/>
      <c r="M76" s="91"/>
      <c r="N76" s="92"/>
      <c r="P76" s="92"/>
      <c r="Q76" s="234" t="s">
        <v>343</v>
      </c>
      <c r="R76" s="8" t="s">
        <v>357</v>
      </c>
    </row>
    <row r="77" spans="1:18" s="104" customFormat="1" ht="45" x14ac:dyDescent="0.25">
      <c r="A77" s="91"/>
      <c r="B77" s="92"/>
      <c r="C77" s="121"/>
      <c r="D77" s="122"/>
      <c r="E77" s="122"/>
      <c r="F77" s="123" t="s">
        <v>59</v>
      </c>
      <c r="G77" s="124">
        <f>G56</f>
        <v>0.35168984962406014</v>
      </c>
      <c r="H77" s="123">
        <f>H56</f>
        <v>230.3</v>
      </c>
      <c r="I77" s="125">
        <f>I40</f>
        <v>520</v>
      </c>
      <c r="J77" s="123">
        <f>J56</f>
        <v>230.3</v>
      </c>
      <c r="K77" s="125">
        <f>K40</f>
        <v>520</v>
      </c>
      <c r="L77" s="91"/>
      <c r="M77" s="91"/>
      <c r="N77" s="92"/>
      <c r="P77" s="92"/>
      <c r="Q77" s="234" t="s">
        <v>344</v>
      </c>
      <c r="R77" s="8" t="s">
        <v>357</v>
      </c>
    </row>
    <row r="78" spans="1:18" x14ac:dyDescent="0.25">
      <c r="A78" s="169"/>
      <c r="B78" s="92"/>
      <c r="C78" s="92"/>
      <c r="D78" s="102"/>
      <c r="E78" s="102"/>
      <c r="F78" s="102"/>
      <c r="G78" s="103"/>
      <c r="H78" s="102"/>
      <c r="I78" s="102"/>
      <c r="J78" s="102"/>
      <c r="K78" s="102"/>
      <c r="L78" s="91"/>
      <c r="M78" s="91"/>
      <c r="N78" s="92"/>
      <c r="P78" s="4"/>
    </row>
    <row r="79" spans="1:18" ht="30" x14ac:dyDescent="0.25">
      <c r="B79" s="105" t="s">
        <v>244</v>
      </c>
      <c r="C79" s="94"/>
      <c r="D79" s="13"/>
      <c r="E79" s="13"/>
      <c r="F79" s="13"/>
      <c r="G79" s="13"/>
      <c r="H79" s="13"/>
      <c r="I79" s="13"/>
      <c r="J79" s="13"/>
      <c r="K79" s="13"/>
      <c r="L79" s="94"/>
      <c r="M79" s="94"/>
      <c r="N79" s="95" t="s">
        <v>253</v>
      </c>
      <c r="P79" s="92" t="s">
        <v>225</v>
      </c>
    </row>
    <row r="80" spans="1:18" ht="30" outlineLevel="1" x14ac:dyDescent="0.25">
      <c r="B80" s="1" t="str">
        <f>'4. Constituent Tolerances'!B23</f>
        <v>Grid K-C ball best-fit plane</v>
      </c>
      <c r="C80" s="1" t="str">
        <f>'4. Constituent Tolerances'!C23</f>
        <v>Metrology precision and best-fit plane definition error of K-C ball plane</v>
      </c>
      <c r="D80" s="145">
        <f>'4. Constituent Tolerances'!D23</f>
        <v>0.6</v>
      </c>
      <c r="E80" s="2">
        <f>'4. Constituent Tolerances'!E23</f>
        <v>800</v>
      </c>
      <c r="F80" s="2">
        <f>'4. Constituent Tolerances'!F23</f>
        <v>938</v>
      </c>
      <c r="G80" s="3">
        <f>'4. Constituent Tolerances'!G23</f>
        <v>7.5000000000000002E-4</v>
      </c>
      <c r="H80" s="145">
        <f>'4. Constituent Tolerances'!H23</f>
        <v>0.3</v>
      </c>
      <c r="I80" s="2">
        <f>'4. Constituent Tolerances'!I23</f>
        <v>0</v>
      </c>
      <c r="J80" s="204">
        <f>'4. Constituent Tolerances'!J23</f>
        <v>0.3</v>
      </c>
      <c r="K80" s="149">
        <f>'4. Constituent Tolerances'!K23</f>
        <v>0</v>
      </c>
      <c r="L80" s="9" t="str">
        <f>'4. Constituent Tolerances'!L23</f>
        <v>Cryo</v>
      </c>
      <c r="M80" s="9" t="str">
        <f>'4. Constituent Tolerances'!M23</f>
        <v>M</v>
      </c>
      <c r="N80" s="1" t="str">
        <f>'4. Constituent Tolerances'!N23</f>
        <v>Measurement precision of metrology system and imprecision of best-fit plane definition</v>
      </c>
      <c r="P80" s="4"/>
    </row>
    <row r="81" spans="1:18" ht="45" outlineLevel="1" x14ac:dyDescent="0.25">
      <c r="B81" s="1" t="str">
        <f>'4. Constituent Tolerances'!B24</f>
        <v>Grid K-C ball best-fit plane</v>
      </c>
      <c r="C81" s="1" t="str">
        <f>'4. Constituent Tolerances'!C24</f>
        <v>Measurement precision wrt Cryostat front flange L3 mount features</v>
      </c>
      <c r="D81" s="2">
        <f>'4. Constituent Tolerances'!D24</f>
        <v>20</v>
      </c>
      <c r="E81" s="2">
        <f>'4. Constituent Tolerances'!E24</f>
        <v>800</v>
      </c>
      <c r="F81" s="2">
        <f>'4. Constituent Tolerances'!F24</f>
        <v>938</v>
      </c>
      <c r="G81" s="3">
        <f>'4. Constituent Tolerances'!G24</f>
        <v>2.5000000000000001E-2</v>
      </c>
      <c r="H81" s="2">
        <f>'4. Constituent Tolerances'!H24</f>
        <v>10</v>
      </c>
      <c r="I81" s="191">
        <v>0</v>
      </c>
      <c r="J81" s="149">
        <f>'4. Constituent Tolerances'!J24</f>
        <v>10</v>
      </c>
      <c r="K81" s="149">
        <v>0</v>
      </c>
      <c r="L81" s="9" t="str">
        <f>'4. Constituent Tolerances'!L24</f>
        <v>Cryo</v>
      </c>
      <c r="M81" s="9" t="str">
        <f>'4. Constituent Tolerances'!M24</f>
        <v>M</v>
      </c>
      <c r="N81" s="1" t="str">
        <f>'4. Constituent Tolerances'!N24</f>
        <v>Precision of the tie-in of the location of the K-C ball best-fit plane to the L3 interface mount features on the cryostat front flange</v>
      </c>
      <c r="P81" s="4"/>
    </row>
    <row r="82" spans="1:18" ht="30" outlineLevel="1" x14ac:dyDescent="0.25">
      <c r="B82" s="1" t="str">
        <f>'4. Constituent Tolerances'!B15</f>
        <v>Cryostat mount flange mount features</v>
      </c>
      <c r="C82" s="1" t="str">
        <f>'4. Constituent Tolerances'!C15</f>
        <v>Cryostat front flange SMR position measurement precision</v>
      </c>
      <c r="D82" s="145">
        <f>'4. Constituent Tolerances'!D15</f>
        <v>20</v>
      </c>
      <c r="E82" s="2">
        <f>'4. Constituent Tolerances'!E15</f>
        <v>950</v>
      </c>
      <c r="F82" s="2">
        <f>'4. Constituent Tolerances'!F15</f>
        <v>938</v>
      </c>
      <c r="G82" s="3">
        <f>'4. Constituent Tolerances'!G15</f>
        <v>2.1052631578947368E-2</v>
      </c>
      <c r="H82" s="146">
        <f>'4. Constituent Tolerances'!H15</f>
        <v>10</v>
      </c>
      <c r="I82" s="2">
        <f>'4. Constituent Tolerances'!I15</f>
        <v>10</v>
      </c>
      <c r="J82" s="358">
        <f>'4. Constituent Tolerances'!J15</f>
        <v>10</v>
      </c>
      <c r="K82" s="149">
        <f>'4. Constituent Tolerances'!K15</f>
        <v>10</v>
      </c>
      <c r="L82" s="9" t="str">
        <f>'4. Constituent Tolerances'!L15</f>
        <v>Cryo</v>
      </c>
      <c r="M82" s="9" t="str">
        <f>'4. Constituent Tolerances'!M15</f>
        <v>M</v>
      </c>
      <c r="N82" s="1" t="str">
        <f>'4. Constituent Tolerances'!N15</f>
        <v>SMR locations are measured on a CMM so precision is very good</v>
      </c>
      <c r="P82" s="4"/>
    </row>
    <row r="83" spans="1:18" ht="90" outlineLevel="1" x14ac:dyDescent="0.25">
      <c r="A83" s="189">
        <v>42391</v>
      </c>
      <c r="B83" s="1" t="str">
        <f>'4. Constituent Tolerances'!B42</f>
        <v>L3 optical axis</v>
      </c>
      <c r="C83" s="1" t="str">
        <f>'4. Constituent Tolerances'!C42</f>
        <v>L3 flange interface datum features</v>
      </c>
      <c r="D83" s="2">
        <f>'4. Constituent Tolerances'!D42</f>
        <v>0</v>
      </c>
      <c r="E83" s="2">
        <f>'4. Constituent Tolerances'!E42</f>
        <v>950</v>
      </c>
      <c r="F83" s="2">
        <f>'4. Constituent Tolerances'!F42</f>
        <v>995</v>
      </c>
      <c r="G83" s="3">
        <f>'4. Constituent Tolerances'!G42</f>
        <v>0.09</v>
      </c>
      <c r="H83" s="2">
        <f>'4. Constituent Tolerances'!H42</f>
        <v>50</v>
      </c>
      <c r="I83" s="2">
        <f>'4. Constituent Tolerances'!I42</f>
        <v>80</v>
      </c>
      <c r="J83" s="149">
        <f>'4. Constituent Tolerances'!J42</f>
        <v>50</v>
      </c>
      <c r="K83" s="149">
        <f>'4. Constituent Tolerances'!K42</f>
        <v>80</v>
      </c>
      <c r="L83" s="9" t="str">
        <f>'4. Constituent Tolerances'!L42</f>
        <v>Opt</v>
      </c>
      <c r="M83" s="9" t="str">
        <f>'4. Constituent Tolerances'!M42</f>
        <v>M</v>
      </c>
      <c r="N83" s="1" t="str">
        <f>'4. Constituent Tolerances'!N42</f>
        <v>Accuracy of measuring and aligning the L3 optic in the flange, with respect to the flange interface features; includes all null test set-up and inspection tolerances, and flange fab tolerances</v>
      </c>
      <c r="P83" s="4"/>
      <c r="Q83" s="4" t="s">
        <v>215</v>
      </c>
    </row>
    <row r="84" spans="1:18" ht="45" outlineLevel="1" x14ac:dyDescent="0.25">
      <c r="B84" s="1" t="str">
        <f>'4. Constituent Tolerances'!B43</f>
        <v>L3 flange interface datum features</v>
      </c>
      <c r="C84" s="1" t="str">
        <f>'4. Constituent Tolerances'!C43</f>
        <v>L3 flange SMR measurement precision, position stability</v>
      </c>
      <c r="D84" s="2">
        <f>'4. Constituent Tolerances'!D43</f>
        <v>0</v>
      </c>
      <c r="E84" s="2">
        <f>'4. Constituent Tolerances'!E43</f>
        <v>950</v>
      </c>
      <c r="F84" s="2">
        <f>'4. Constituent Tolerances'!F43</f>
        <v>995</v>
      </c>
      <c r="G84" s="3">
        <f>'4. Constituent Tolerances'!G43</f>
        <v>3.5000000000000003E-2</v>
      </c>
      <c r="H84" s="2">
        <f>'4. Constituent Tolerances'!H43</f>
        <v>35</v>
      </c>
      <c r="I84" s="2">
        <f>'4. Constituent Tolerances'!I43</f>
        <v>35</v>
      </c>
      <c r="J84" s="149">
        <f>'4. Constituent Tolerances'!J43</f>
        <v>35</v>
      </c>
      <c r="K84" s="149">
        <f>'4. Constituent Tolerances'!K43</f>
        <v>35</v>
      </c>
      <c r="L84" s="9" t="str">
        <f>'4. Constituent Tolerances'!L43</f>
        <v>Opt</v>
      </c>
      <c r="M84" s="9" t="str">
        <f>'4. Constituent Tolerances'!M43</f>
        <v>M</v>
      </c>
      <c r="N84" s="1" t="str">
        <f>'4. Constituent Tolerances'!N43</f>
        <v>Includes measurement precision of SMRs wrt L3 optical axis and stability/ reproducibility of SMR mounting and measurement off of L3 flange</v>
      </c>
      <c r="P84" s="4"/>
    </row>
    <row r="85" spans="1:18" ht="30" outlineLevel="1" x14ac:dyDescent="0.25">
      <c r="B85" s="1" t="str">
        <f>'4. Constituent Tolerances'!B44</f>
        <v>L3 flange SMR position measurement</v>
      </c>
      <c r="C85" s="1" t="str">
        <f>'4. Constituent Tolerances'!C44</f>
        <v>Survey precision to laser tracker world coordinate system</v>
      </c>
      <c r="D85" s="2">
        <f>'4. Constituent Tolerances'!D44</f>
        <v>50</v>
      </c>
      <c r="E85" s="2">
        <f>'4. Constituent Tolerances'!E44</f>
        <v>950</v>
      </c>
      <c r="F85" s="2">
        <f>'4. Constituent Tolerances'!F44</f>
        <v>995</v>
      </c>
      <c r="G85" s="3">
        <f>'4. Constituent Tolerances'!G44</f>
        <v>5.2631578947368418E-2</v>
      </c>
      <c r="H85" s="2">
        <f>'4. Constituent Tolerances'!H44</f>
        <v>50</v>
      </c>
      <c r="I85" s="2">
        <f>'4. Constituent Tolerances'!I44</f>
        <v>50</v>
      </c>
      <c r="J85" s="149">
        <f>'4. Constituent Tolerances'!J44</f>
        <v>50</v>
      </c>
      <c r="K85" s="149">
        <f>'4. Constituent Tolerances'!K44</f>
        <v>50</v>
      </c>
      <c r="L85" s="9" t="str">
        <f>'4. Constituent Tolerances'!L44</f>
        <v>I&amp;T</v>
      </c>
      <c r="M85" s="9" t="str">
        <f>'4. Constituent Tolerances'!M44</f>
        <v>M</v>
      </c>
      <c r="N85" s="1" t="str">
        <f>'4. Constituent Tolerances'!N44</f>
        <v>Precision of position survey of L3 fiducials</v>
      </c>
      <c r="P85" s="4"/>
    </row>
    <row r="86" spans="1:18" outlineLevel="1" x14ac:dyDescent="0.25">
      <c r="B86" s="1"/>
      <c r="C86" s="1"/>
      <c r="D86" s="145"/>
      <c r="E86" s="2"/>
      <c r="F86" s="2"/>
      <c r="G86" s="3"/>
      <c r="H86" s="146"/>
      <c r="I86" s="2"/>
      <c r="J86" s="146"/>
      <c r="K86" s="2"/>
      <c r="L86" s="9"/>
      <c r="M86" s="9"/>
      <c r="N86" s="1"/>
      <c r="P86" s="4"/>
    </row>
    <row r="87" spans="1:18" s="104" customFormat="1" ht="30" x14ac:dyDescent="0.25">
      <c r="A87" s="189">
        <v>42391</v>
      </c>
      <c r="B87" s="92"/>
      <c r="C87" s="116" t="s">
        <v>244</v>
      </c>
      <c r="D87" s="117"/>
      <c r="E87" s="117"/>
      <c r="F87" s="118" t="s">
        <v>58</v>
      </c>
      <c r="G87" s="119">
        <f>SQRT(SUMSQ(G80:G86))</f>
        <v>0.11473386116963015</v>
      </c>
      <c r="H87" s="118">
        <f>SQRT(SUMSQ(H80:H86))</f>
        <v>80.156659112016385</v>
      </c>
      <c r="I87" s="120">
        <f>SQRT(SUMSQ(I80:I86))</f>
        <v>101.11874208078342</v>
      </c>
      <c r="J87" s="118">
        <f>SQRT(SUMSQ(J80:J86))</f>
        <v>80.156659112016385</v>
      </c>
      <c r="K87" s="120">
        <f>SQRT(SUMSQ(K80:K86))</f>
        <v>101.11874208078342</v>
      </c>
      <c r="L87" s="91"/>
      <c r="M87" s="91"/>
      <c r="N87" s="92"/>
      <c r="P87" s="92"/>
      <c r="Q87" s="92"/>
      <c r="R87"/>
    </row>
    <row r="88" spans="1:18" s="104" customFormat="1" x14ac:dyDescent="0.25">
      <c r="A88" s="91"/>
      <c r="B88" s="92"/>
      <c r="C88" s="121"/>
      <c r="D88" s="122"/>
      <c r="E88" s="122"/>
      <c r="F88" s="123" t="s">
        <v>59</v>
      </c>
      <c r="G88" s="124">
        <f>SUM(G80:G86)</f>
        <v>0.22443421052631579</v>
      </c>
      <c r="H88" s="123">
        <f>SUM(H80:H86)</f>
        <v>155.30000000000001</v>
      </c>
      <c r="I88" s="125">
        <f>SUM(I80:I86)</f>
        <v>175</v>
      </c>
      <c r="J88" s="123">
        <f>SUM(J80:J86)</f>
        <v>155.30000000000001</v>
      </c>
      <c r="K88" s="125">
        <f>SUM(K80:K86)</f>
        <v>175</v>
      </c>
      <c r="L88" s="91"/>
      <c r="M88" s="91"/>
      <c r="N88" s="92"/>
      <c r="P88" s="92"/>
      <c r="Q88" s="92"/>
      <c r="R88"/>
    </row>
    <row r="89" spans="1:18" x14ac:dyDescent="0.25">
      <c r="A89" s="169"/>
      <c r="B89" s="92"/>
      <c r="C89" s="92"/>
      <c r="D89" s="102"/>
      <c r="E89" s="102"/>
      <c r="F89" s="102"/>
      <c r="G89" s="103"/>
      <c r="H89" s="102"/>
      <c r="I89" s="102"/>
      <c r="J89" s="102"/>
      <c r="K89" s="102"/>
      <c r="L89" s="91"/>
      <c r="M89" s="91"/>
      <c r="N89" s="92"/>
      <c r="P89" s="4"/>
    </row>
    <row r="90" spans="1:18" x14ac:dyDescent="0.25">
      <c r="B90" s="93" t="s">
        <v>82</v>
      </c>
      <c r="C90" s="94"/>
      <c r="D90" s="13"/>
      <c r="E90" s="13"/>
      <c r="F90" s="13"/>
      <c r="G90" s="13"/>
      <c r="H90" s="13"/>
      <c r="I90" s="13"/>
      <c r="J90" s="13"/>
      <c r="K90" s="13"/>
      <c r="L90" s="94"/>
      <c r="M90" s="94"/>
      <c r="N90" s="95" t="s">
        <v>83</v>
      </c>
      <c r="P90" s="92" t="s">
        <v>225</v>
      </c>
    </row>
    <row r="91" spans="1:18" outlineLevel="1" x14ac:dyDescent="0.25">
      <c r="B91" s="1" t="str">
        <f>'4. Constituent Tolerances'!B22</f>
        <v>Grid K-C ball best-fit plane</v>
      </c>
      <c r="C91" s="1" t="str">
        <f>'4. Constituent Tolerances'!C22</f>
        <v>K-C ball co-planarity profile tolerance</v>
      </c>
      <c r="D91" s="2">
        <f>'4. Constituent Tolerances'!D22</f>
        <v>0</v>
      </c>
      <c r="E91" s="2">
        <f>'4. Constituent Tolerances'!E22</f>
        <v>800</v>
      </c>
      <c r="F91" s="2">
        <f>'4. Constituent Tolerances'!F22</f>
        <v>938</v>
      </c>
      <c r="G91" s="3">
        <f>'4. Constituent Tolerances'!G22</f>
        <v>0</v>
      </c>
      <c r="H91" s="2">
        <f>'4. Constituent Tolerances'!H22</f>
        <v>4</v>
      </c>
      <c r="I91" s="2">
        <f>'4. Constituent Tolerances'!I22</f>
        <v>0</v>
      </c>
      <c r="J91" s="2">
        <f>'4. Constituent Tolerances'!J22</f>
        <v>4</v>
      </c>
      <c r="K91" s="2">
        <f>'4. Constituent Tolerances'!K22</f>
        <v>0</v>
      </c>
      <c r="L91" s="9" t="str">
        <f>'4. Constituent Tolerances'!L22</f>
        <v>Cryo</v>
      </c>
      <c r="M91" s="9" t="str">
        <f>'4. Constituent Tolerances'!M22</f>
        <v>P</v>
      </c>
      <c r="N91" s="1" t="str">
        <f>'4. Constituent Tolerances'!N22</f>
        <v>Spread/variability of K-C balls wrt best-fit interface plane</v>
      </c>
      <c r="P91" s="92" t="s">
        <v>225</v>
      </c>
    </row>
    <row r="92" spans="1:18" ht="30" outlineLevel="1" x14ac:dyDescent="0.25">
      <c r="B92" s="1" t="str">
        <f>'4. Constituent Tolerances'!B23</f>
        <v>Grid K-C ball best-fit plane</v>
      </c>
      <c r="C92" s="1" t="str">
        <f>'4. Constituent Tolerances'!C23</f>
        <v>Metrology precision and best-fit plane definition error of K-C ball plane</v>
      </c>
      <c r="D92" s="145">
        <f>'4. Constituent Tolerances'!D23</f>
        <v>0.6</v>
      </c>
      <c r="E92" s="2">
        <f>'4. Constituent Tolerances'!E23</f>
        <v>800</v>
      </c>
      <c r="F92" s="2">
        <f>'4. Constituent Tolerances'!F23</f>
        <v>938</v>
      </c>
      <c r="G92" s="3">
        <f>'4. Constituent Tolerances'!G23</f>
        <v>7.5000000000000002E-4</v>
      </c>
      <c r="H92" s="145">
        <f>'4. Constituent Tolerances'!H23</f>
        <v>0.3</v>
      </c>
      <c r="I92" s="2">
        <f>'4. Constituent Tolerances'!I23</f>
        <v>0</v>
      </c>
      <c r="J92" s="145">
        <f>'4. Constituent Tolerances'!J23</f>
        <v>0.3</v>
      </c>
      <c r="K92" s="2">
        <f>'4. Constituent Tolerances'!K23</f>
        <v>0</v>
      </c>
      <c r="L92" s="9" t="str">
        <f>'4. Constituent Tolerances'!L23</f>
        <v>Cryo</v>
      </c>
      <c r="M92" s="9" t="str">
        <f>'4. Constituent Tolerances'!M23</f>
        <v>M</v>
      </c>
      <c r="N92" s="1" t="str">
        <f>'4. Constituent Tolerances'!N23</f>
        <v>Measurement precision of metrology system and imprecision of best-fit plane definition</v>
      </c>
      <c r="P92" s="4"/>
    </row>
    <row r="93" spans="1:18" ht="30" outlineLevel="1" x14ac:dyDescent="0.25">
      <c r="B93" s="1" t="str">
        <f>'4. Constituent Tolerances'!B25</f>
        <v>Grid K-C ball best-fit plane</v>
      </c>
      <c r="C93" s="1" t="str">
        <f>'4. Constituent Tolerances'!C25</f>
        <v>RSA mounting repeatability on K-C balls</v>
      </c>
      <c r="D93" s="2">
        <f>'4. Constituent Tolerances'!D25</f>
        <v>0</v>
      </c>
      <c r="E93" s="2">
        <f>'4. Constituent Tolerances'!E25</f>
        <v>0</v>
      </c>
      <c r="F93" s="2">
        <f>'4. Constituent Tolerances'!F25</f>
        <v>0</v>
      </c>
      <c r="G93" s="3">
        <f>'4. Constituent Tolerances'!G25</f>
        <v>0</v>
      </c>
      <c r="H93" s="2">
        <f>'4. Constituent Tolerances'!H25</f>
        <v>2</v>
      </c>
      <c r="I93" s="2">
        <f>'4. Constituent Tolerances'!I25</f>
        <v>2</v>
      </c>
      <c r="J93" s="2">
        <f>'4. Constituent Tolerances'!J25</f>
        <v>2</v>
      </c>
      <c r="K93" s="2">
        <f>'4. Constituent Tolerances'!K25</f>
        <v>2</v>
      </c>
      <c r="L93" s="9" t="str">
        <f>'4. Constituent Tolerances'!L25</f>
        <v>I&amp;T</v>
      </c>
      <c r="M93" s="9" t="str">
        <f>'4. Constituent Tolerances'!M25</f>
        <v>P</v>
      </c>
      <c r="N93" s="1" t="str">
        <f>'4. Constituent Tolerances'!N25</f>
        <v>Placement error of RSA due to friction and surface finish causing sticking of vee-blocks on balls</v>
      </c>
      <c r="P93" s="92" t="s">
        <v>225</v>
      </c>
    </row>
    <row r="94" spans="1:18" ht="30" outlineLevel="1" x14ac:dyDescent="0.25">
      <c r="A94" s="189">
        <v>42401</v>
      </c>
      <c r="B94" s="1" t="str">
        <f>'4. Constituent Tolerances'!B27</f>
        <v>Detector plane best-fit plane</v>
      </c>
      <c r="C94" s="1" t="str">
        <f>'4. Constituent Tolerances'!C27</f>
        <v>Metrology precision and best-fit plane definition error of detector plane</v>
      </c>
      <c r="D94" s="2">
        <f>'4. Constituent Tolerances'!D27</f>
        <v>0</v>
      </c>
      <c r="E94" s="2">
        <f>'4. Constituent Tolerances'!E27</f>
        <v>0</v>
      </c>
      <c r="F94" s="2">
        <f>'4. Constituent Tolerances'!F27</f>
        <v>0</v>
      </c>
      <c r="G94" s="3">
        <f>'4. Constituent Tolerances'!G27</f>
        <v>0</v>
      </c>
      <c r="H94" s="145">
        <f>'4. Constituent Tolerances'!H27</f>
        <v>1</v>
      </c>
      <c r="I94" s="2">
        <f>'4. Constituent Tolerances'!I27</f>
        <v>0</v>
      </c>
      <c r="J94" s="145">
        <f>'4. Constituent Tolerances'!J27</f>
        <v>1</v>
      </c>
      <c r="K94" s="2">
        <f>'4. Constituent Tolerances'!K27</f>
        <v>0</v>
      </c>
      <c r="L94" s="9" t="str">
        <f>'4. Constituent Tolerances'!L27</f>
        <v>I&amp;T</v>
      </c>
      <c r="M94" s="9">
        <f>'4. Constituent Tolerances'!M27</f>
        <v>0</v>
      </c>
      <c r="N94" s="1" t="str">
        <f>'4. Constituent Tolerances'!N27</f>
        <v>Measurement precision of detector metrology system and imprecision of best-fit plane definition</v>
      </c>
      <c r="P94" s="92" t="s">
        <v>225</v>
      </c>
    </row>
    <row r="95" spans="1:18" ht="45" outlineLevel="1" x14ac:dyDescent="0.25">
      <c r="B95" s="1" t="str">
        <f>'4. Constituent Tolerances'!B28</f>
        <v>Sensor profile/height</v>
      </c>
      <c r="C95" s="1" t="str">
        <f>'4. Constituent Tolerances'!C28</f>
        <v>Raft base plate K-C V-groove mount</v>
      </c>
      <c r="D95" s="2">
        <f>'4. Constituent Tolerances'!D28</f>
        <v>20</v>
      </c>
      <c r="E95" s="2">
        <f>'4. Constituent Tolerances'!E28</f>
        <v>0</v>
      </c>
      <c r="F95" s="2">
        <f>'4. Constituent Tolerances'!F28</f>
        <v>0</v>
      </c>
      <c r="G95" s="3">
        <f>'4. Constituent Tolerances'!G28</f>
        <v>0</v>
      </c>
      <c r="H95" s="2">
        <f>'4. Constituent Tolerances'!H28</f>
        <v>10</v>
      </c>
      <c r="I95" s="2">
        <f>'4. Constituent Tolerances'!I28</f>
        <v>0</v>
      </c>
      <c r="J95" s="376">
        <f>'4. Constituent Tolerances'!J28</f>
        <v>12</v>
      </c>
      <c r="K95" s="2">
        <f>'4. Constituent Tolerances'!K28</f>
        <v>0</v>
      </c>
      <c r="L95" s="9" t="str">
        <f>'4. Constituent Tolerances'!L28</f>
        <v>SRft</v>
      </c>
      <c r="M95" s="9" t="str">
        <f>'4. Constituent Tolerances'!M28</f>
        <v>P</v>
      </c>
      <c r="N95" s="377" t="str">
        <f>'4. Constituent Tolerances'!N28</f>
        <v>5/29/2018: As-built from first 8 RTMs; mean is 42.785
Profile tolerance of sensors with respect to K-C ball grooves, incl sensor, raft plate fab tol's and measurement precision (See LCA-10066 for Sci Raft breakdown of this to its constituents)</v>
      </c>
      <c r="P95" s="92"/>
    </row>
    <row r="96" spans="1:18" s="104" customFormat="1" ht="30" x14ac:dyDescent="0.25">
      <c r="A96" s="91"/>
      <c r="B96" s="92"/>
      <c r="C96" s="116" t="s">
        <v>84</v>
      </c>
      <c r="D96" s="117"/>
      <c r="E96" s="117"/>
      <c r="F96" s="118" t="s">
        <v>58</v>
      </c>
      <c r="G96" s="119">
        <f>SQRT(SUMSQ(G91:G95))</f>
        <v>7.5000000000000002E-4</v>
      </c>
      <c r="H96" s="118">
        <f>SQRT(SUMSQ(H91:H95))</f>
        <v>11.00409014866745</v>
      </c>
      <c r="I96" s="120">
        <f>SQRT(SUMSQ(I91:I95))</f>
        <v>2</v>
      </c>
      <c r="J96" s="118">
        <f>SQRT(SUMSQ(J91:J95))</f>
        <v>12.848735346328837</v>
      </c>
      <c r="K96" s="120">
        <f>SQRT(SUMSQ(K91:K95))</f>
        <v>2</v>
      </c>
      <c r="L96" s="91"/>
      <c r="M96" s="91"/>
      <c r="N96" s="92"/>
      <c r="P96" s="92"/>
      <c r="Q96" s="92"/>
      <c r="R96"/>
    </row>
    <row r="97" spans="1:18" s="104" customFormat="1" x14ac:dyDescent="0.25">
      <c r="A97" s="91"/>
      <c r="B97" s="92"/>
      <c r="C97" s="121"/>
      <c r="D97" s="122"/>
      <c r="E97" s="122"/>
      <c r="F97" s="123" t="s">
        <v>59</v>
      </c>
      <c r="G97" s="124">
        <f>SUM(G91:G95)</f>
        <v>7.5000000000000002E-4</v>
      </c>
      <c r="H97" s="123">
        <f>SUM(H91:H95)</f>
        <v>17.3</v>
      </c>
      <c r="I97" s="125">
        <f>SUM(I91:I95)</f>
        <v>2</v>
      </c>
      <c r="J97" s="123">
        <f>SUM(J91:J95)</f>
        <v>19.3</v>
      </c>
      <c r="K97" s="125">
        <f>SUM(K91:K95)</f>
        <v>2</v>
      </c>
      <c r="L97" s="91"/>
      <c r="M97" s="91"/>
      <c r="N97" s="92"/>
      <c r="P97" s="92"/>
      <c r="Q97" s="92"/>
      <c r="R97"/>
    </row>
    <row r="98" spans="1:18" x14ac:dyDescent="0.25">
      <c r="B98" s="92"/>
      <c r="C98" s="92"/>
      <c r="D98" s="102"/>
      <c r="E98" s="102"/>
      <c r="F98" s="102"/>
      <c r="G98" s="103"/>
      <c r="H98" s="102"/>
      <c r="I98" s="102"/>
      <c r="J98" s="102"/>
      <c r="K98" s="102"/>
      <c r="L98" s="91"/>
      <c r="M98" s="91"/>
      <c r="N98" s="92"/>
      <c r="P98" s="4"/>
    </row>
    <row r="99" spans="1:18" x14ac:dyDescent="0.25">
      <c r="B99" s="92"/>
      <c r="C99" s="92"/>
      <c r="D99" s="102"/>
      <c r="E99" s="102"/>
      <c r="F99" s="102"/>
      <c r="G99" s="103"/>
      <c r="H99" s="102"/>
      <c r="I99" s="102"/>
      <c r="J99" s="102"/>
      <c r="K99" s="102"/>
      <c r="L99" s="91"/>
      <c r="M99" s="91"/>
      <c r="N99" s="92"/>
      <c r="P99" s="4"/>
    </row>
    <row r="100" spans="1:18" ht="30" customHeight="1" x14ac:dyDescent="0.25">
      <c r="A100" s="181"/>
      <c r="B100" s="105" t="s">
        <v>246</v>
      </c>
      <c r="C100" s="106"/>
      <c r="D100" s="107"/>
      <c r="E100" s="107"/>
      <c r="F100" s="107"/>
      <c r="G100" s="107"/>
      <c r="H100" s="107"/>
      <c r="I100" s="107"/>
      <c r="J100" s="107"/>
      <c r="K100" s="107"/>
      <c r="L100" s="106"/>
      <c r="M100" s="106"/>
      <c r="N100" s="15" t="s">
        <v>252</v>
      </c>
      <c r="P100" s="92" t="s">
        <v>239</v>
      </c>
    </row>
    <row r="101" spans="1:18" ht="45" outlineLevel="1" x14ac:dyDescent="0.25">
      <c r="A101" s="181"/>
      <c r="B101" s="1" t="str">
        <f>'4. Constituent Tolerances'!B48</f>
        <v>L2 optical axis and origin</v>
      </c>
      <c r="C101" s="1" t="str">
        <f>'4. Constituent Tolerances'!C48</f>
        <v>L2 -S2 divots</v>
      </c>
      <c r="D101" s="2">
        <f>'4. Constituent Tolerances'!D48</f>
        <v>0</v>
      </c>
      <c r="E101" s="2">
        <f>'4. Constituent Tolerances'!E48</f>
        <v>1100</v>
      </c>
      <c r="F101" s="2">
        <f>'4. Constituent Tolerances'!F48</f>
        <v>1850</v>
      </c>
      <c r="G101" s="3">
        <f>'4. Constituent Tolerances'!G48</f>
        <v>3.5999999999999997E-2</v>
      </c>
      <c r="H101" s="2">
        <f>'4. Constituent Tolerances'!H48</f>
        <v>40</v>
      </c>
      <c r="I101" s="2">
        <f>'4. Constituent Tolerances'!I48</f>
        <v>40</v>
      </c>
      <c r="J101" s="2">
        <f>'4. Constituent Tolerances'!J48</f>
        <v>40</v>
      </c>
      <c r="K101" s="2">
        <f>'4. Constituent Tolerances'!K48</f>
        <v>40</v>
      </c>
      <c r="L101" s="9" t="str">
        <f>'4. Constituent Tolerances'!L48</f>
        <v>Opt</v>
      </c>
      <c r="M101" s="9" t="str">
        <f>'4. Constituent Tolerances'!M48</f>
        <v>M</v>
      </c>
      <c r="N101" s="1" t="str">
        <f>'4. Constituent Tolerances'!N48</f>
        <v>L2-S1 and L2-S2 optical surfaces measured w/laser tracker or equiv, to determine optical axis/origin of L2 (a.k.a.: L1-L2 optical axis), and measurement of L2-S2 divots in glass wrt to that axis</v>
      </c>
      <c r="P101" s="4"/>
    </row>
    <row r="102" spans="1:18" ht="45" outlineLevel="1" x14ac:dyDescent="0.25">
      <c r="A102" s="181"/>
      <c r="B102" s="1" t="str">
        <f>'4. Constituent Tolerances'!B49</f>
        <v>L2 -S2 divots</v>
      </c>
      <c r="C102" s="1" t="str">
        <f>'4. Constituent Tolerances'!C49</f>
        <v>L2 temporary SMRs</v>
      </c>
      <c r="D102" s="2">
        <f>'4. Constituent Tolerances'!D49</f>
        <v>0</v>
      </c>
      <c r="E102" s="2">
        <f>'4. Constituent Tolerances'!E49</f>
        <v>1100</v>
      </c>
      <c r="F102" s="2">
        <f>'4. Constituent Tolerances'!F49</f>
        <v>1850</v>
      </c>
      <c r="G102" s="3">
        <f>'4. Constituent Tolerances'!G49</f>
        <v>3.2000000000000001E-2</v>
      </c>
      <c r="H102" s="2">
        <f>'4. Constituent Tolerances'!H49</f>
        <v>35</v>
      </c>
      <c r="I102" s="2">
        <f>'4. Constituent Tolerances'!I49</f>
        <v>35</v>
      </c>
      <c r="J102" s="2">
        <f>'4. Constituent Tolerances'!J49</f>
        <v>35</v>
      </c>
      <c r="K102" s="2">
        <f>'4. Constituent Tolerances'!K49</f>
        <v>35</v>
      </c>
      <c r="L102" s="9" t="str">
        <f>'4. Constituent Tolerances'!L49</f>
        <v>Opt</v>
      </c>
      <c r="M102" s="9" t="str">
        <f>'4. Constituent Tolerances'!M49</f>
        <v>M</v>
      </c>
      <c r="N102" s="1" t="str">
        <f>'4. Constituent Tolerances'!N49</f>
        <v>Measurement uncertainty of determining offset locations of temp SMR positions relative to L2-S2 divots during optical measurements</v>
      </c>
      <c r="P102" s="4"/>
    </row>
    <row r="103" spans="1:18" outlineLevel="1" x14ac:dyDescent="0.25">
      <c r="A103" s="181"/>
      <c r="B103" s="1"/>
      <c r="C103" s="1"/>
      <c r="D103" s="2"/>
      <c r="E103" s="2"/>
      <c r="F103" s="2"/>
      <c r="G103" s="3"/>
      <c r="H103" s="2"/>
      <c r="I103" s="2"/>
      <c r="J103" s="2"/>
      <c r="K103" s="2"/>
      <c r="L103" s="9"/>
      <c r="M103" s="9"/>
      <c r="N103" s="1"/>
      <c r="P103" s="4"/>
    </row>
    <row r="104" spans="1:18" s="104" customFormat="1" ht="30" x14ac:dyDescent="0.25">
      <c r="A104" s="185"/>
      <c r="B104" s="154" t="s">
        <v>131</v>
      </c>
      <c r="C104" s="126" t="s">
        <v>246</v>
      </c>
      <c r="D104" s="127"/>
      <c r="E104" s="127"/>
      <c r="F104" s="128" t="s">
        <v>58</v>
      </c>
      <c r="G104" s="129">
        <f>SQRT(SUMSQ(G101:G103))</f>
        <v>4.8166378315169185E-2</v>
      </c>
      <c r="H104" s="128">
        <f>SQRT(SUMSQ(H101:H103))</f>
        <v>53.150729063673246</v>
      </c>
      <c r="I104" s="130">
        <f>SQRT(SUMSQ(I101:I103))</f>
        <v>53.150729063673246</v>
      </c>
      <c r="J104" s="128">
        <f>SQRT(SUMSQ(J101:J103))</f>
        <v>53.150729063673246</v>
      </c>
      <c r="K104" s="130">
        <f>SQRT(SUMSQ(K101:K103))</f>
        <v>53.150729063673246</v>
      </c>
      <c r="L104" s="91"/>
      <c r="M104" s="91"/>
      <c r="N104" s="92"/>
      <c r="P104" s="188" t="s">
        <v>280</v>
      </c>
      <c r="Q104" s="233" t="s">
        <v>329</v>
      </c>
      <c r="R104"/>
    </row>
    <row r="105" spans="1:18" s="104" customFormat="1" x14ac:dyDescent="0.25">
      <c r="A105" s="185"/>
      <c r="B105" s="92"/>
      <c r="C105" s="121"/>
      <c r="D105" s="122"/>
      <c r="E105" s="122"/>
      <c r="F105" s="123" t="s">
        <v>59</v>
      </c>
      <c r="G105" s="124">
        <f>SUM(G101:G103)</f>
        <v>6.8000000000000005E-2</v>
      </c>
      <c r="H105" s="123">
        <f>SUM(H101:H103)</f>
        <v>75</v>
      </c>
      <c r="I105" s="125">
        <f>SUM(I101:I103)</f>
        <v>75</v>
      </c>
      <c r="J105" s="123">
        <f>SUM(J101:J103)</f>
        <v>75</v>
      </c>
      <c r="K105" s="125">
        <f>SUM(K101:K103)</f>
        <v>75</v>
      </c>
      <c r="L105" s="91"/>
      <c r="M105" s="91"/>
      <c r="N105" s="92"/>
      <c r="P105" s="92"/>
      <c r="Q105" s="92"/>
      <c r="R105"/>
    </row>
    <row r="106" spans="1:18" x14ac:dyDescent="0.25">
      <c r="B106" s="92"/>
      <c r="C106" s="92"/>
      <c r="D106" s="102"/>
      <c r="E106" s="102"/>
      <c r="F106" s="102"/>
      <c r="G106" s="103"/>
      <c r="H106" s="102"/>
      <c r="I106" s="102"/>
      <c r="J106" s="102"/>
      <c r="K106" s="102"/>
      <c r="L106" s="91"/>
      <c r="M106" s="91"/>
      <c r="N106" s="92"/>
      <c r="P106" s="4"/>
    </row>
    <row r="107" spans="1:18" x14ac:dyDescent="0.25">
      <c r="A107" s="181"/>
      <c r="B107" s="105" t="s">
        <v>205</v>
      </c>
      <c r="C107" s="106"/>
      <c r="D107" s="107"/>
      <c r="E107" s="107"/>
      <c r="F107" s="107"/>
      <c r="G107" s="107"/>
      <c r="H107" s="107"/>
      <c r="I107" s="107"/>
      <c r="J107" s="107"/>
      <c r="K107" s="107"/>
      <c r="L107" s="106"/>
      <c r="M107" s="106"/>
      <c r="N107" s="15" t="s">
        <v>206</v>
      </c>
      <c r="P107" s="92" t="s">
        <v>239</v>
      </c>
    </row>
    <row r="108" spans="1:18" ht="45" outlineLevel="1" x14ac:dyDescent="0.25">
      <c r="A108" s="181"/>
      <c r="B108" s="1" t="str">
        <f>'4. Constituent Tolerances'!B50</f>
        <v>L1 optical axis and origin</v>
      </c>
      <c r="C108" s="1" t="str">
        <f>'4. Constituent Tolerances'!C50</f>
        <v>L1 temporary SMRs</v>
      </c>
      <c r="D108" s="2">
        <f>'4. Constituent Tolerances'!D50</f>
        <v>0</v>
      </c>
      <c r="E108" s="2">
        <f>'4. Constituent Tolerances'!E50</f>
        <v>1600</v>
      </c>
      <c r="F108" s="2">
        <f>'4. Constituent Tolerances'!F50</f>
        <v>1850</v>
      </c>
      <c r="G108" s="3">
        <f>'4. Constituent Tolerances'!G50</f>
        <v>7.1999999999999995E-2</v>
      </c>
      <c r="H108" s="2">
        <f>'4. Constituent Tolerances'!H50</f>
        <v>106</v>
      </c>
      <c r="I108" s="2">
        <f>'4. Constituent Tolerances'!I50</f>
        <v>106</v>
      </c>
      <c r="J108" s="2">
        <f>'4. Constituent Tolerances'!J50</f>
        <v>106</v>
      </c>
      <c r="K108" s="2">
        <f>'4. Constituent Tolerances'!K50</f>
        <v>106</v>
      </c>
      <c r="L108" s="9" t="str">
        <f>'4. Constituent Tolerances'!L50</f>
        <v>Opt</v>
      </c>
      <c r="M108" s="9" t="str">
        <f>'4. Constituent Tolerances'!M50</f>
        <v>M</v>
      </c>
      <c r="N108" s="1" t="str">
        <f>'4. Constituent Tolerances'!N50</f>
        <v>Measurement uncertainty of determining offset locations of temp SMR positions on L1 cell relative to optical surfaces during optical measurement of L1</v>
      </c>
      <c r="P108" s="4"/>
    </row>
    <row r="109" spans="1:18" ht="30" outlineLevel="1" x14ac:dyDescent="0.25">
      <c r="A109" s="181"/>
      <c r="B109" s="1" t="str">
        <f>'4. Constituent Tolerances'!B51</f>
        <v>L1  lens placement</v>
      </c>
      <c r="C109" s="1" t="str">
        <f>'4. Constituent Tolerances'!C51</f>
        <v>L2 optical axis</v>
      </c>
      <c r="D109" s="2">
        <f>'4. Constituent Tolerances'!D51</f>
        <v>104</v>
      </c>
      <c r="E109" s="2">
        <f>'4. Constituent Tolerances'!E51</f>
        <v>1600</v>
      </c>
      <c r="F109" s="2">
        <f>'4. Constituent Tolerances'!F51</f>
        <v>1850</v>
      </c>
      <c r="G109" s="3">
        <f>'4. Constituent Tolerances'!G51</f>
        <v>6.5000000000000002E-2</v>
      </c>
      <c r="H109" s="2">
        <f>'4. Constituent Tolerances'!H51</f>
        <v>100</v>
      </c>
      <c r="I109" s="2">
        <f>'4. Constituent Tolerances'!I51</f>
        <v>100</v>
      </c>
      <c r="J109" s="2">
        <f>'4. Constituent Tolerances'!J51</f>
        <v>100</v>
      </c>
      <c r="K109" s="2">
        <f>'4. Constituent Tolerances'!K51</f>
        <v>100</v>
      </c>
      <c r="L109" s="9" t="str">
        <f>'4. Constituent Tolerances'!L51</f>
        <v>Opt</v>
      </c>
      <c r="M109" s="9" t="str">
        <f>'4. Constituent Tolerances'!M51</f>
        <v>P</v>
      </c>
      <c r="N109" s="1" t="str">
        <f>'4. Constituent Tolerances'!N51</f>
        <v>Accuracy with which L1 lens can be placed in the correct location wrt L2 optical axis, based on precision of adjustment mechanism</v>
      </c>
      <c r="P109" s="4"/>
    </row>
    <row r="110" spans="1:18" outlineLevel="1" x14ac:dyDescent="0.25">
      <c r="A110" s="181"/>
      <c r="B110" s="1" t="str">
        <f>'4. Constituent Tolerances'!B52</f>
        <v>L1 temporary SMRs</v>
      </c>
      <c r="C110" s="1" t="str">
        <f>'4. Constituent Tolerances'!C52</f>
        <v>L2 temporary SMRs</v>
      </c>
      <c r="D110" s="2">
        <f>'4. Constituent Tolerances'!D52</f>
        <v>100</v>
      </c>
      <c r="E110" s="2">
        <f>'4. Constituent Tolerances'!E52</f>
        <v>1600</v>
      </c>
      <c r="F110" s="2">
        <f>'4. Constituent Tolerances'!F52</f>
        <v>1850</v>
      </c>
      <c r="G110" s="3">
        <f>'4. Constituent Tolerances'!G52</f>
        <v>6.25E-2</v>
      </c>
      <c r="H110" s="2">
        <f>'4. Constituent Tolerances'!H52</f>
        <v>50</v>
      </c>
      <c r="I110" s="2">
        <f>'4. Constituent Tolerances'!I52</f>
        <v>50</v>
      </c>
      <c r="J110" s="2">
        <f>'4. Constituent Tolerances'!J52</f>
        <v>50</v>
      </c>
      <c r="K110" s="2">
        <f>'4. Constituent Tolerances'!K52</f>
        <v>50</v>
      </c>
      <c r="L110" s="9" t="str">
        <f>'4. Constituent Tolerances'!L52</f>
        <v>Opt</v>
      </c>
      <c r="M110" s="9" t="str">
        <f>'4. Constituent Tolerances'!M52</f>
        <v>M</v>
      </c>
      <c r="N110" s="1" t="str">
        <f>'4. Constituent Tolerances'!N52</f>
        <v>Measurement precision of L1 SMRs to L2 SMRs</v>
      </c>
      <c r="P110" s="4"/>
    </row>
    <row r="111" spans="1:18" outlineLevel="1" x14ac:dyDescent="0.25">
      <c r="A111" s="181"/>
      <c r="B111" s="1"/>
      <c r="C111" s="1"/>
      <c r="D111" s="2"/>
      <c r="E111" s="2"/>
      <c r="F111" s="2"/>
      <c r="G111" s="3"/>
      <c r="H111" s="2"/>
      <c r="I111" s="2"/>
      <c r="J111" s="2"/>
      <c r="K111" s="2"/>
      <c r="L111" s="9"/>
      <c r="M111" s="9"/>
      <c r="N111" s="1"/>
      <c r="P111" s="4"/>
    </row>
    <row r="112" spans="1:18" s="104" customFormat="1" ht="45" x14ac:dyDescent="0.25">
      <c r="A112" s="185"/>
      <c r="B112" s="154" t="s">
        <v>131</v>
      </c>
      <c r="C112" s="126" t="s">
        <v>205</v>
      </c>
      <c r="D112" s="127"/>
      <c r="E112" s="127"/>
      <c r="F112" s="128" t="s">
        <v>58</v>
      </c>
      <c r="G112" s="129">
        <f>SQRT(SUMSQ(G108:G111))</f>
        <v>0.11539172413999195</v>
      </c>
      <c r="H112" s="128">
        <f>SQRT(SUMSQ(H108:H111))</f>
        <v>154.06492138056606</v>
      </c>
      <c r="I112" s="130">
        <f>SQRT(SUMSQ(I108:I111))</f>
        <v>154.06492138056606</v>
      </c>
      <c r="J112" s="128">
        <f>SQRT(SUMSQ(J108:J111))</f>
        <v>154.06492138056606</v>
      </c>
      <c r="K112" s="130">
        <f>SQRT(SUMSQ(K108:K111))</f>
        <v>154.06492138056606</v>
      </c>
      <c r="L112" s="91"/>
      <c r="M112" s="91"/>
      <c r="N112" s="92"/>
      <c r="P112" s="215" t="s">
        <v>277</v>
      </c>
      <c r="Q112" s="233" t="s">
        <v>330</v>
      </c>
      <c r="R112"/>
    </row>
    <row r="113" spans="1:18" s="104" customFormat="1" x14ac:dyDescent="0.25">
      <c r="A113" s="185"/>
      <c r="B113" s="92"/>
      <c r="C113" s="121"/>
      <c r="D113" s="122"/>
      <c r="E113" s="122"/>
      <c r="F113" s="123" t="s">
        <v>59</v>
      </c>
      <c r="G113" s="124">
        <f>SUM(G108:G111)</f>
        <v>0.19950000000000001</v>
      </c>
      <c r="H113" s="123">
        <f>SUM(H108:H111)</f>
        <v>256</v>
      </c>
      <c r="I113" s="125">
        <f>SUM(I108:I111)</f>
        <v>256</v>
      </c>
      <c r="J113" s="123">
        <f>SUM(J108:J111)</f>
        <v>256</v>
      </c>
      <c r="K113" s="125">
        <f>SUM(K108:K111)</f>
        <v>256</v>
      </c>
      <c r="L113" s="91"/>
      <c r="M113" s="91"/>
      <c r="N113" s="92"/>
      <c r="P113" s="92"/>
      <c r="Q113" s="92"/>
      <c r="R113"/>
    </row>
    <row r="114" spans="1:18" x14ac:dyDescent="0.25">
      <c r="B114" s="92"/>
      <c r="C114" s="92"/>
      <c r="D114" s="102"/>
      <c r="E114" s="102"/>
      <c r="F114" s="102"/>
      <c r="G114" s="103"/>
      <c r="H114" s="102"/>
      <c r="I114" s="102"/>
      <c r="J114" s="102"/>
      <c r="K114" s="102"/>
      <c r="L114" s="91"/>
      <c r="M114" s="91"/>
      <c r="N114" s="92"/>
      <c r="P114" s="4"/>
    </row>
    <row r="115" spans="1:18" ht="30.75" customHeight="1" x14ac:dyDescent="0.25">
      <c r="A115" s="181"/>
      <c r="B115" s="105" t="s">
        <v>247</v>
      </c>
      <c r="C115" s="106"/>
      <c r="D115" s="107"/>
      <c r="E115" s="107"/>
      <c r="F115" s="107"/>
      <c r="G115" s="107"/>
      <c r="H115" s="107"/>
      <c r="I115" s="107"/>
      <c r="J115" s="107"/>
      <c r="K115" s="107"/>
      <c r="L115" s="106"/>
      <c r="M115" s="106"/>
      <c r="N115" s="15" t="s">
        <v>207</v>
      </c>
      <c r="P115" s="92" t="s">
        <v>225</v>
      </c>
    </row>
    <row r="116" spans="1:18" ht="45" outlineLevel="1" x14ac:dyDescent="0.25">
      <c r="A116" s="181"/>
      <c r="B116" s="1" t="str">
        <f>'4. Constituent Tolerances'!B53</f>
        <v>L1-L2 assembly</v>
      </c>
      <c r="C116" s="1" t="str">
        <f>'4. Constituent Tolerances'!C53</f>
        <v>Camera</v>
      </c>
      <c r="D116" s="2">
        <f>'4. Constituent Tolerances'!D53</f>
        <v>50</v>
      </c>
      <c r="E116" s="2">
        <f>'4. Constituent Tolerances'!E53</f>
        <v>1600</v>
      </c>
      <c r="F116" s="2">
        <f>'4. Constituent Tolerances'!F53</f>
        <v>1850</v>
      </c>
      <c r="G116" s="3">
        <f>'4. Constituent Tolerances'!G53</f>
        <v>3.125E-2</v>
      </c>
      <c r="H116" s="2">
        <f>'4. Constituent Tolerances'!H53</f>
        <v>25</v>
      </c>
      <c r="I116" s="2">
        <f>'4. Constituent Tolerances'!I53</f>
        <v>25</v>
      </c>
      <c r="J116" s="2">
        <f>'4. Constituent Tolerances'!J53</f>
        <v>25</v>
      </c>
      <c r="K116" s="2">
        <f>'4. Constituent Tolerances'!K53</f>
        <v>25</v>
      </c>
      <c r="L116" s="9" t="str">
        <f>'4. Constituent Tolerances'!L53</f>
        <v>Opt</v>
      </c>
      <c r="M116" s="9" t="str">
        <f>'4. Constituent Tolerances'!M53</f>
        <v>P</v>
      </c>
      <c r="N116" s="1" t="str">
        <f>'4. Constituent Tolerances'!N53</f>
        <v>Accuracy with which L1 -L2 assy can be placed in a pre-determined location wrt CCS, based on strut adjustment quantization</v>
      </c>
      <c r="P116" s="4"/>
    </row>
    <row r="117" spans="1:18" outlineLevel="1" x14ac:dyDescent="0.25">
      <c r="A117" s="181"/>
      <c r="B117" s="1" t="str">
        <f>'4. Constituent Tolerances'!B54</f>
        <v>L1-L2 temporary SMRs</v>
      </c>
      <c r="C117" s="1" t="str">
        <f>'4. Constituent Tolerances'!C54</f>
        <v>Seating error/play</v>
      </c>
      <c r="D117" s="2">
        <f>'4. Constituent Tolerances'!D54</f>
        <v>50</v>
      </c>
      <c r="E117" s="2">
        <f>'4. Constituent Tolerances'!E54</f>
        <v>1600</v>
      </c>
      <c r="F117" s="2">
        <f>'4. Constituent Tolerances'!F54</f>
        <v>1850</v>
      </c>
      <c r="G117" s="3">
        <f>'4. Constituent Tolerances'!G54</f>
        <v>3.125E-2</v>
      </c>
      <c r="H117" s="2">
        <f>'4. Constituent Tolerances'!H54</f>
        <v>25</v>
      </c>
      <c r="I117" s="2">
        <f>'4. Constituent Tolerances'!I54</f>
        <v>25</v>
      </c>
      <c r="J117" s="2">
        <f>'4. Constituent Tolerances'!J54</f>
        <v>25</v>
      </c>
      <c r="K117" s="2">
        <f>'4. Constituent Tolerances'!K54</f>
        <v>25</v>
      </c>
      <c r="L117" s="9" t="str">
        <f>'4. Constituent Tolerances'!L54</f>
        <v>I&amp;T</v>
      </c>
      <c r="M117" s="9" t="str">
        <f>'4. Constituent Tolerances'!M54</f>
        <v>M</v>
      </c>
      <c r="N117" s="1" t="str">
        <f>'4. Constituent Tolerances'!N54</f>
        <v>Seating error/play in SMRs, affecting survey precision</v>
      </c>
      <c r="P117" s="4"/>
    </row>
    <row r="118" spans="1:18" ht="30" outlineLevel="1" x14ac:dyDescent="0.25">
      <c r="A118" s="181"/>
      <c r="B118" s="1" t="str">
        <f>'4. Constituent Tolerances'!B55</f>
        <v>L1-L2 assembly SMRs</v>
      </c>
      <c r="C118" s="1" t="str">
        <f>'4. Constituent Tolerances'!C55</f>
        <v>Survey precision to camera best-fit optical axis</v>
      </c>
      <c r="D118" s="2">
        <f>'4. Constituent Tolerances'!D55</f>
        <v>100</v>
      </c>
      <c r="E118" s="2">
        <f>'4. Constituent Tolerances'!E55</f>
        <v>1600</v>
      </c>
      <c r="F118" s="2">
        <f>'4. Constituent Tolerances'!F55</f>
        <v>1850</v>
      </c>
      <c r="G118" s="3">
        <f>'4. Constituent Tolerances'!G55</f>
        <v>6.25E-2</v>
      </c>
      <c r="H118" s="2">
        <f>'4. Constituent Tolerances'!H55</f>
        <v>50</v>
      </c>
      <c r="I118" s="2">
        <f>'4. Constituent Tolerances'!I55</f>
        <v>50</v>
      </c>
      <c r="J118" s="2">
        <f>'4. Constituent Tolerances'!J55</f>
        <v>50</v>
      </c>
      <c r="K118" s="2">
        <f>'4. Constituent Tolerances'!K55</f>
        <v>50</v>
      </c>
      <c r="L118" s="9" t="str">
        <f>'4. Constituent Tolerances'!L55</f>
        <v>I&amp;T</v>
      </c>
      <c r="M118" s="9" t="str">
        <f>'4. Constituent Tolerances'!M55</f>
        <v>M</v>
      </c>
      <c r="N118" s="1" t="str">
        <f>'4. Constituent Tolerances'!N55</f>
        <v>Laser metrology uncertainty of 50 microns, includes 2x margin</v>
      </c>
      <c r="P118" s="4"/>
    </row>
    <row r="119" spans="1:18" outlineLevel="1" x14ac:dyDescent="0.25">
      <c r="A119" s="181"/>
      <c r="B119" s="1"/>
      <c r="C119" s="1"/>
      <c r="D119" s="2"/>
      <c r="E119" s="2"/>
      <c r="F119" s="2"/>
      <c r="G119" s="3"/>
      <c r="H119" s="2"/>
      <c r="I119" s="2"/>
      <c r="J119" s="2"/>
      <c r="K119" s="2"/>
      <c r="L119" s="9"/>
      <c r="M119" s="9"/>
      <c r="N119" s="1"/>
      <c r="P119" s="4"/>
    </row>
    <row r="120" spans="1:18" s="104" customFormat="1" ht="45" x14ac:dyDescent="0.25">
      <c r="A120" s="185"/>
      <c r="B120" s="92"/>
      <c r="C120" s="126" t="s">
        <v>247</v>
      </c>
      <c r="D120" s="127"/>
      <c r="E120" s="127"/>
      <c r="F120" s="128" t="s">
        <v>58</v>
      </c>
      <c r="G120" s="129">
        <f>SQRT(SUMSQ(G116:G119))</f>
        <v>7.6546554461974309E-2</v>
      </c>
      <c r="H120" s="128">
        <f>SQRT(SUMSQ(H116:H119))</f>
        <v>61.237243569579455</v>
      </c>
      <c r="I120" s="130">
        <f>SQRT(SUMSQ(I116:I119))</f>
        <v>61.237243569579455</v>
      </c>
      <c r="J120" s="128">
        <f>SQRT(SUMSQ(J116:J119))</f>
        <v>61.237243569579455</v>
      </c>
      <c r="K120" s="130">
        <f>SQRT(SUMSQ(K116:K119))</f>
        <v>61.237243569579455</v>
      </c>
      <c r="L120" s="91"/>
      <c r="M120" s="91"/>
      <c r="N120" s="92"/>
      <c r="P120" s="92"/>
      <c r="Q120" s="92"/>
      <c r="R120"/>
    </row>
    <row r="121" spans="1:18" s="104" customFormat="1" x14ac:dyDescent="0.25">
      <c r="A121" s="185"/>
      <c r="B121" s="92"/>
      <c r="C121" s="121"/>
      <c r="D121" s="122"/>
      <c r="E121" s="122"/>
      <c r="F121" s="123" t="s">
        <v>59</v>
      </c>
      <c r="G121" s="124">
        <f>SUM(G116:G119)</f>
        <v>0.125</v>
      </c>
      <c r="H121" s="123">
        <f>SUM(H116:H119)</f>
        <v>100</v>
      </c>
      <c r="I121" s="125">
        <f>SUM(I116:I119)</f>
        <v>100</v>
      </c>
      <c r="J121" s="123">
        <f>SUM(J116:J119)</f>
        <v>100</v>
      </c>
      <c r="K121" s="125">
        <f>SUM(K116:K119)</f>
        <v>100</v>
      </c>
      <c r="L121" s="91"/>
      <c r="M121" s="91"/>
      <c r="N121" s="92"/>
      <c r="P121" s="92"/>
      <c r="Q121" s="92"/>
      <c r="R121"/>
    </row>
    <row r="122" spans="1:18" x14ac:dyDescent="0.25">
      <c r="B122" s="92"/>
      <c r="C122" s="92"/>
      <c r="D122" s="102"/>
      <c r="E122" s="102"/>
      <c r="F122" s="102"/>
      <c r="G122" s="103"/>
      <c r="H122" s="102"/>
      <c r="I122" s="102"/>
      <c r="J122" s="102"/>
      <c r="K122" s="102"/>
      <c r="L122" s="91"/>
      <c r="M122" s="91"/>
      <c r="N122" s="92"/>
      <c r="P122" s="4"/>
    </row>
    <row r="123" spans="1:18" x14ac:dyDescent="0.25">
      <c r="B123" s="93" t="s">
        <v>154</v>
      </c>
      <c r="C123" s="94"/>
      <c r="D123" s="13"/>
      <c r="E123" s="13"/>
      <c r="F123" s="13"/>
      <c r="G123" s="13"/>
      <c r="H123" s="13"/>
      <c r="I123" s="13"/>
      <c r="J123" s="13"/>
      <c r="K123" s="13"/>
      <c r="L123" s="94"/>
      <c r="M123" s="94"/>
      <c r="N123" s="95" t="s">
        <v>230</v>
      </c>
      <c r="P123" s="4" t="s">
        <v>232</v>
      </c>
    </row>
    <row r="124" spans="1:18" s="186" customFormat="1" ht="45" outlineLevel="1" x14ac:dyDescent="0.25">
      <c r="A124" s="189">
        <v>42118</v>
      </c>
      <c r="B124" s="148" t="str">
        <f>'4. Constituent Tolerances'!B59</f>
        <v>Filter S1 surface normal at physical center of frame seat</v>
      </c>
      <c r="C124" s="148" t="str">
        <f>'4. Constituent Tolerances'!C59</f>
        <v>Filter frame seat</v>
      </c>
      <c r="D124" s="149">
        <f>'4. Constituent Tolerances'!D59</f>
        <v>0</v>
      </c>
      <c r="E124" s="149">
        <f>'4. Constituent Tolerances'!E59</f>
        <v>796</v>
      </c>
      <c r="F124" s="149">
        <f>'4. Constituent Tolerances'!F59</f>
        <v>1000</v>
      </c>
      <c r="G124" s="150">
        <f>'4. Constituent Tolerances'!G59</f>
        <v>0.15</v>
      </c>
      <c r="H124" s="149">
        <f>'4. Constituent Tolerances'!H59</f>
        <v>60</v>
      </c>
      <c r="I124" s="149">
        <f>'4. Constituent Tolerances'!I59</f>
        <v>0</v>
      </c>
      <c r="J124" s="149">
        <f>'4. Constituent Tolerances'!J59</f>
        <v>60</v>
      </c>
      <c r="K124" s="149">
        <f>'4. Constituent Tolerances'!K59</f>
        <v>0</v>
      </c>
      <c r="L124" s="151" t="str">
        <f>'4. Constituent Tolerances'!L59</f>
        <v>Opt</v>
      </c>
      <c r="M124" s="151" t="str">
        <f>'4. Constituent Tolerances'!M59</f>
        <v>P</v>
      </c>
      <c r="N124" s="148" t="str">
        <f>'4. Constituent Tolerances'!N59</f>
        <v>Installation of the optic into the frame; piston controlled by PEEK shims; glass centered on frame with CMM or depth gauge; tip/tilt a function of figure errors and figure position wrt glass OD</v>
      </c>
      <c r="P124" s="187"/>
      <c r="Q124" s="187"/>
      <c r="R124"/>
    </row>
    <row r="125" spans="1:18" s="186" customFormat="1" ht="45" outlineLevel="1" x14ac:dyDescent="0.25">
      <c r="A125" s="189">
        <v>42118</v>
      </c>
      <c r="B125" s="148" t="str">
        <f>'4. Constituent Tolerances'!B60</f>
        <v>Filter frame seat</v>
      </c>
      <c r="C125" s="148" t="str">
        <f>'4. Constituent Tolerances'!C60</f>
        <v>Filter frame interface datum features</v>
      </c>
      <c r="D125" s="149">
        <f>'4. Constituent Tolerances'!D60</f>
        <v>0</v>
      </c>
      <c r="E125" s="149">
        <f>'4. Constituent Tolerances'!E60</f>
        <v>796</v>
      </c>
      <c r="F125" s="149">
        <f>'4. Constituent Tolerances'!F60</f>
        <v>1000</v>
      </c>
      <c r="G125" s="150">
        <f>'4. Constituent Tolerances'!G60</f>
        <v>0.08</v>
      </c>
      <c r="H125" s="149">
        <f>'4. Constituent Tolerances'!H60</f>
        <v>60</v>
      </c>
      <c r="I125" s="149">
        <f>'4. Constituent Tolerances'!I60</f>
        <v>0</v>
      </c>
      <c r="J125" s="149">
        <f>'4. Constituent Tolerances'!J60</f>
        <v>60</v>
      </c>
      <c r="K125" s="149">
        <f>'4. Constituent Tolerances'!K60</f>
        <v>0</v>
      </c>
      <c r="L125" s="151" t="str">
        <f>'4. Constituent Tolerances'!L60</f>
        <v>Opt</v>
      </c>
      <c r="M125" s="151" t="str">
        <f>'4. Constituent Tolerances'!M60</f>
        <v>P</v>
      </c>
      <c r="N125" s="148" t="str">
        <f>'4. Constituent Tolerances'!N60</f>
        <v>Fabrication accuracy of frame seat to datums, including datum profile, pin true position &amp; datum size; measured with CMM and /or depth gauge</v>
      </c>
      <c r="P125" s="187"/>
      <c r="Q125" s="187"/>
      <c r="R125"/>
    </row>
    <row r="126" spans="1:18" s="186" customFormat="1" ht="45" outlineLevel="1" x14ac:dyDescent="0.25">
      <c r="A126" s="189">
        <v>42118</v>
      </c>
      <c r="B126" s="148" t="str">
        <f>'4. Constituent Tolerances'!B61</f>
        <v>Filter frame interface datum</v>
      </c>
      <c r="C126" s="148" t="str">
        <f>'4. Constituent Tolerances'!C61</f>
        <v>Filter frame SMR nest position accuracy and measurement precision</v>
      </c>
      <c r="D126" s="149">
        <f>'4. Constituent Tolerances'!D61</f>
        <v>0</v>
      </c>
      <c r="E126" s="149">
        <f>'4. Constituent Tolerances'!E61</f>
        <v>820</v>
      </c>
      <c r="F126" s="149">
        <f>'4. Constituent Tolerances'!F61</f>
        <v>1000</v>
      </c>
      <c r="G126" s="150">
        <f>'4. Constituent Tolerances'!G61</f>
        <v>0.1</v>
      </c>
      <c r="H126" s="149">
        <f>'4. Constituent Tolerances'!H61</f>
        <v>50</v>
      </c>
      <c r="I126" s="149">
        <f>'4. Constituent Tolerances'!I61</f>
        <v>50</v>
      </c>
      <c r="J126" s="149">
        <f>'4. Constituent Tolerances'!J61</f>
        <v>50</v>
      </c>
      <c r="K126" s="149">
        <f>'4. Constituent Tolerances'!K61</f>
        <v>50</v>
      </c>
      <c r="L126" s="151" t="str">
        <f>'4. Constituent Tolerances'!L61</f>
        <v>Opt</v>
      </c>
      <c r="M126" s="151" t="str">
        <f>'4. Constituent Tolerances'!M61</f>
        <v>M</v>
      </c>
      <c r="N126" s="148" t="str">
        <f>'4. Constituent Tolerances'!N61</f>
        <v>Fab accuracy of SMR nests with respect to filter frame datums; measured with CMM; SMR positions to mech center of frame is used for surveying</v>
      </c>
      <c r="P126" s="187"/>
      <c r="Q126" s="187"/>
      <c r="R126"/>
    </row>
    <row r="127" spans="1:18" s="104" customFormat="1" ht="90" x14ac:dyDescent="0.25">
      <c r="A127" s="91"/>
      <c r="B127" s="154" t="s">
        <v>131</v>
      </c>
      <c r="C127" s="116" t="s">
        <v>155</v>
      </c>
      <c r="D127" s="118"/>
      <c r="E127" s="118"/>
      <c r="F127" s="118" t="s">
        <v>58</v>
      </c>
      <c r="G127" s="119">
        <f>SQRT(SUMSQ(G124:G126))</f>
        <v>0.19723082923316021</v>
      </c>
      <c r="H127" s="118">
        <f>SQRT(SUMSQ(H124:H126))</f>
        <v>98.488578017961046</v>
      </c>
      <c r="I127" s="120">
        <f>SQRT(SUMSQ(I124:I126))</f>
        <v>50</v>
      </c>
      <c r="J127" s="118">
        <f>SQRT(SUMSQ(J124:J126))</f>
        <v>98.488578017961046</v>
      </c>
      <c r="K127" s="120">
        <f>SQRT(SUMSQ(K124:K126))</f>
        <v>50</v>
      </c>
      <c r="L127" s="91"/>
      <c r="M127" s="91"/>
      <c r="N127" s="92"/>
      <c r="P127" s="188" t="s">
        <v>240</v>
      </c>
      <c r="Q127" s="92"/>
      <c r="R127"/>
    </row>
    <row r="128" spans="1:18" s="104" customFormat="1" x14ac:dyDescent="0.25">
      <c r="A128" s="91"/>
      <c r="B128" s="92"/>
      <c r="C128" s="132"/>
      <c r="D128" s="123"/>
      <c r="E128" s="123"/>
      <c r="F128" s="123" t="s">
        <v>59</v>
      </c>
      <c r="G128" s="124">
        <f>SUM(G124:G126)</f>
        <v>0.32999999999999996</v>
      </c>
      <c r="H128" s="123">
        <f>SUM(H124:H126)</f>
        <v>170</v>
      </c>
      <c r="I128" s="125">
        <f>SUM(I124:I126)</f>
        <v>50</v>
      </c>
      <c r="J128" s="123">
        <f>SUM(J124:J126)</f>
        <v>170</v>
      </c>
      <c r="K128" s="125">
        <f>SUM(K124:K126)</f>
        <v>50</v>
      </c>
      <c r="L128" s="91"/>
      <c r="M128" s="91"/>
      <c r="N128" s="92"/>
      <c r="P128" s="92"/>
      <c r="Q128" s="92"/>
      <c r="R128"/>
    </row>
    <row r="129" spans="1:18" x14ac:dyDescent="0.25">
      <c r="B129" s="92"/>
      <c r="C129" s="92"/>
      <c r="D129" s="102"/>
      <c r="E129" s="102"/>
      <c r="F129" s="102"/>
      <c r="G129" s="103"/>
      <c r="H129" s="102"/>
      <c r="I129" s="102"/>
      <c r="J129" s="102"/>
      <c r="K129" s="102"/>
      <c r="L129" s="91"/>
      <c r="M129" s="91"/>
      <c r="N129" s="92"/>
      <c r="P129" s="4"/>
    </row>
    <row r="130" spans="1:18" ht="30" x14ac:dyDescent="0.25">
      <c r="B130" s="105" t="s">
        <v>248</v>
      </c>
      <c r="C130" s="106"/>
      <c r="D130" s="107"/>
      <c r="E130" s="107"/>
      <c r="F130" s="107"/>
      <c r="G130" s="107"/>
      <c r="H130" s="107"/>
      <c r="I130" s="107"/>
      <c r="J130" s="107"/>
      <c r="K130" s="107"/>
      <c r="L130" s="106"/>
      <c r="M130" s="106"/>
      <c r="N130" s="15" t="s">
        <v>36</v>
      </c>
      <c r="P130" s="4" t="s">
        <v>234</v>
      </c>
    </row>
    <row r="131" spans="1:18" ht="210" outlineLevel="1" x14ac:dyDescent="0.25">
      <c r="B131" s="234" t="str">
        <f>'4. Constituent Tolerances'!B18</f>
        <v>Camera back flange rotator interface features</v>
      </c>
      <c r="C131" s="234" t="str">
        <f>'4. Constituent Tolerances'!C18</f>
        <v>Camera front flange mount features</v>
      </c>
      <c r="D131" s="2">
        <f>'4. Constituent Tolerances'!D18</f>
        <v>100</v>
      </c>
      <c r="E131" s="2">
        <f>'4. Constituent Tolerances'!E18</f>
        <v>1600</v>
      </c>
      <c r="F131" s="2">
        <f>'4. Constituent Tolerances'!F18</f>
        <v>979</v>
      </c>
      <c r="G131" s="3">
        <f>'4. Constituent Tolerances'!G18</f>
        <v>6.25E-2</v>
      </c>
      <c r="H131" s="235">
        <f>'4. Constituent Tolerances'!H18</f>
        <v>150</v>
      </c>
      <c r="I131" s="235">
        <f>'4. Constituent Tolerances'!I18</f>
        <v>250</v>
      </c>
      <c r="J131" s="149">
        <f>'4. Constituent Tolerances'!J18</f>
        <v>150</v>
      </c>
      <c r="K131" s="149">
        <f>'4. Constituent Tolerances'!K18</f>
        <v>250</v>
      </c>
      <c r="L131" s="9" t="str">
        <f>'4. Constituent Tolerances'!L18</f>
        <v>CBM</v>
      </c>
      <c r="M131" s="9" t="str">
        <f>'4. Constituent Tolerances'!M18</f>
        <v>P</v>
      </c>
      <c r="N131" s="1" t="str">
        <f>'4. Constituent Tolerances'!N18</f>
        <v>Toleranced offsets from back to front flange; assumes the body and flange are fabricated together</v>
      </c>
      <c r="P131" s="4"/>
      <c r="Q131" s="234" t="str">
        <f>'4. Constituent Tolerances'!R18</f>
        <v>8/30/2016 MN: Piston was +/-50, is +/-150 since back flange and housing are fabricated separately and tol's were far too tight; parallelism tol of 100 is unchanged; decenter was 100, is 250 due to added tolerance of making parts independently</v>
      </c>
      <c r="R131" s="8" t="s">
        <v>357</v>
      </c>
    </row>
    <row r="132" spans="1:18" ht="75" outlineLevel="1" x14ac:dyDescent="0.25">
      <c r="B132" s="234" t="str">
        <f>'4. Constituent Tolerances'!B65</f>
        <v>Camera front flange mount features</v>
      </c>
      <c r="C132" s="234" t="str">
        <f>'4. Constituent Tolerances'!C65</f>
        <v>Auto changer mounting repeatability</v>
      </c>
      <c r="D132" s="2">
        <f>'4. Constituent Tolerances'!D65</f>
        <v>200</v>
      </c>
      <c r="E132" s="2">
        <f>'4. Constituent Tolerances'!E65</f>
        <v>1200</v>
      </c>
      <c r="F132" s="2">
        <f>'4. Constituent Tolerances'!F65</f>
        <v>1000</v>
      </c>
      <c r="G132" s="3">
        <f>'4. Constituent Tolerances'!G65</f>
        <v>0.16666666666666666</v>
      </c>
      <c r="H132" s="235">
        <f>'4. Constituent Tolerances'!H65</f>
        <v>60</v>
      </c>
      <c r="I132" s="235">
        <f>'4. Constituent Tolerances'!I65</f>
        <v>60</v>
      </c>
      <c r="J132" s="149">
        <f>'4. Constituent Tolerances'!J65</f>
        <v>60</v>
      </c>
      <c r="K132" s="149">
        <f>'4. Constituent Tolerances'!K65</f>
        <v>60</v>
      </c>
      <c r="L132" s="9" t="str">
        <f>'4. Constituent Tolerances'!L65</f>
        <v>Exch</v>
      </c>
      <c r="M132" s="9" t="str">
        <f>'4. Constituent Tolerances'!M65</f>
        <v>P</v>
      </c>
      <c r="N132" s="1" t="str">
        <f>'4. Constituent Tolerances'!N65</f>
        <v>Hysterisis/non-repeatability of auto changer modules after remove/replace cycle</v>
      </c>
      <c r="P132" s="4"/>
      <c r="Q132" s="234" t="str">
        <f>'4. Constituent Tolerances'!R65</f>
        <v>8/30/2016 MN: was +/-100, is +/-60 piston and decenter repeatability</v>
      </c>
      <c r="R132" s="8" t="s">
        <v>357</v>
      </c>
    </row>
    <row r="133" spans="1:18" ht="60" outlineLevel="1" x14ac:dyDescent="0.25">
      <c r="B133" s="1" t="str">
        <f>'4. Constituent Tolerances'!B66</f>
        <v>Auto changer mount features</v>
      </c>
      <c r="C133" s="1" t="str">
        <f>'4. Constituent Tolerances'!C66</f>
        <v>Auto Changer filter mounts as-built nominal position</v>
      </c>
      <c r="D133" s="2">
        <f>'4. Constituent Tolerances'!D66</f>
        <v>100</v>
      </c>
      <c r="E133" s="2">
        <f>'4. Constituent Tolerances'!E66</f>
        <v>1200</v>
      </c>
      <c r="F133" s="2">
        <f>'4. Constituent Tolerances'!F66</f>
        <v>1000</v>
      </c>
      <c r="G133" s="3">
        <f>'4. Constituent Tolerances'!G66</f>
        <v>8.3333333333333329E-2</v>
      </c>
      <c r="H133" s="2">
        <f>'4. Constituent Tolerances'!H66</f>
        <v>300</v>
      </c>
      <c r="I133" s="2">
        <f>'4. Constituent Tolerances'!I66</f>
        <v>300</v>
      </c>
      <c r="J133" s="149">
        <f>'4. Constituent Tolerances'!J66</f>
        <v>300</v>
      </c>
      <c r="K133" s="149">
        <f>'4. Constituent Tolerances'!K66</f>
        <v>300</v>
      </c>
      <c r="L133" s="9" t="str">
        <f>'4. Constituent Tolerances'!L66</f>
        <v>Exch</v>
      </c>
      <c r="M133" s="9" t="str">
        <f>'4. Constituent Tolerances'!M66</f>
        <v>P</v>
      </c>
      <c r="N133" s="1" t="str">
        <f>'4. Constituent Tolerances'!N66</f>
        <v>Position of filter mounts in their nominal as-built position relative to the interface mount points on the auto changer; contributes to the req'd adjustment capability in the filter mounts</v>
      </c>
      <c r="P133" s="4"/>
    </row>
    <row r="134" spans="1:18" ht="60" outlineLevel="1" x14ac:dyDescent="0.25">
      <c r="B134" s="1" t="str">
        <f>'4. Constituent Tolerances'!B67</f>
        <v>Auto changer mount features</v>
      </c>
      <c r="C134" s="1" t="str">
        <f>'4. Constituent Tolerances'!C67</f>
        <v>Auto Changer filter mounts adjustment accuracy</v>
      </c>
      <c r="D134" s="2">
        <f>'4. Constituent Tolerances'!D67</f>
        <v>200</v>
      </c>
      <c r="E134" s="2">
        <f>'4. Constituent Tolerances'!E67</f>
        <v>1200</v>
      </c>
      <c r="F134" s="2">
        <f>'4. Constituent Tolerances'!F67</f>
        <v>1000</v>
      </c>
      <c r="G134" s="3">
        <f>'4. Constituent Tolerances'!G67</f>
        <v>0.16666666666666666</v>
      </c>
      <c r="H134" s="2">
        <f>'4. Constituent Tolerances'!H67</f>
        <v>100</v>
      </c>
      <c r="I134" s="2">
        <f>'4. Constituent Tolerances'!I67</f>
        <v>100</v>
      </c>
      <c r="J134" s="149">
        <f>'4. Constituent Tolerances'!J67</f>
        <v>100</v>
      </c>
      <c r="K134" s="149">
        <f>'4. Constituent Tolerances'!K67</f>
        <v>100</v>
      </c>
      <c r="L134" s="9" t="str">
        <f>'4. Constituent Tolerances'!L67</f>
        <v>Exch</v>
      </c>
      <c r="M134" s="9" t="str">
        <f>'4. Constituent Tolerances'!M67</f>
        <v>P</v>
      </c>
      <c r="N134" s="1" t="str">
        <f>'4. Constituent Tolerances'!N67</f>
        <v>Accuracy with which the filter mount features can be placed with respect to the auto changer mount datums;  includes errors in the filter simulator reference gauge; includes difference in position of the two auto changer modules</v>
      </c>
      <c r="P134" s="4"/>
    </row>
    <row r="135" spans="1:18" ht="30" outlineLevel="1" x14ac:dyDescent="0.25">
      <c r="A135" s="169"/>
      <c r="B135" s="1" t="str">
        <f>'4. Constituent Tolerances'!B68</f>
        <v>Auto changer mount features</v>
      </c>
      <c r="C135" s="1" t="str">
        <f>'4. Constituent Tolerances'!C68</f>
        <v>Filter placement repeatability</v>
      </c>
      <c r="D135" s="2">
        <f>'4. Constituent Tolerances'!D68</f>
        <v>200</v>
      </c>
      <c r="E135" s="2">
        <f>'4. Constituent Tolerances'!E68</f>
        <v>1200</v>
      </c>
      <c r="F135" s="2">
        <f>'4. Constituent Tolerances'!F68</f>
        <v>1000</v>
      </c>
      <c r="G135" s="3">
        <f>'4. Constituent Tolerances'!G68</f>
        <v>0.16666666666666666</v>
      </c>
      <c r="H135" s="2">
        <f>'4. Constituent Tolerances'!H68</f>
        <v>100</v>
      </c>
      <c r="I135" s="2">
        <f>'4. Constituent Tolerances'!I68</f>
        <v>100</v>
      </c>
      <c r="J135" s="149">
        <f>'4. Constituent Tolerances'!J68</f>
        <v>100</v>
      </c>
      <c r="K135" s="149">
        <f>'4. Constituent Tolerances'!K68</f>
        <v>100</v>
      </c>
      <c r="L135" s="9" t="str">
        <f>'4. Constituent Tolerances'!L68</f>
        <v>Exch</v>
      </c>
      <c r="M135" s="9" t="str">
        <f>'4. Constituent Tolerances'!M68</f>
        <v>P</v>
      </c>
      <c r="N135" s="1" t="str">
        <f>'4. Constituent Tolerances'!N68</f>
        <v>C-094: Auto Changer shall place a filter into position with a repeatability of +/- 0.1 mm in the XY-plane</v>
      </c>
      <c r="P135" s="4"/>
    </row>
    <row r="136" spans="1:18" ht="30" outlineLevel="1" x14ac:dyDescent="0.25">
      <c r="B136" s="1" t="str">
        <f>'4. Constituent Tolerances'!B69</f>
        <v>Auto changer filter mounts</v>
      </c>
      <c r="C136" s="1" t="str">
        <f>'4. Constituent Tolerances'!C69</f>
        <v>Measurement precision wrt auto changer survey fiducials</v>
      </c>
      <c r="D136" s="2">
        <f>'4. Constituent Tolerances'!D69</f>
        <v>100</v>
      </c>
      <c r="E136" s="2">
        <f>'4. Constituent Tolerances'!E69</f>
        <v>1200</v>
      </c>
      <c r="F136" s="2">
        <f>'4. Constituent Tolerances'!F69</f>
        <v>1000</v>
      </c>
      <c r="G136" s="3">
        <f>'4. Constituent Tolerances'!G69</f>
        <v>8.3333333333333329E-2</v>
      </c>
      <c r="H136" s="2">
        <f>'4. Constituent Tolerances'!H69</f>
        <v>50</v>
      </c>
      <c r="I136" s="2">
        <f>'4. Constituent Tolerances'!I69</f>
        <v>50</v>
      </c>
      <c r="J136" s="149">
        <f>'4. Constituent Tolerances'!J69</f>
        <v>50</v>
      </c>
      <c r="K136" s="149">
        <f>'4. Constituent Tolerances'!K69</f>
        <v>50</v>
      </c>
      <c r="L136" s="9" t="str">
        <f>'4. Constituent Tolerances'!L69</f>
        <v>I&amp;T</v>
      </c>
      <c r="M136" s="9" t="str">
        <f>'4. Constituent Tolerances'!M69</f>
        <v>M</v>
      </c>
      <c r="N136" s="1" t="str">
        <f>'4. Constituent Tolerances'!N69</f>
        <v>Precision of the filter mount location measurements to the survey fiducials on the auto changer perimeter</v>
      </c>
      <c r="P136" s="4"/>
    </row>
    <row r="137" spans="1:18" s="186" customFormat="1" ht="45" outlineLevel="1" x14ac:dyDescent="0.25">
      <c r="A137" s="189">
        <v>42118</v>
      </c>
      <c r="B137" s="148" t="str">
        <f>'4. Constituent Tolerances'!B59</f>
        <v>Filter S1 surface normal at physical center of frame seat</v>
      </c>
      <c r="C137" s="148" t="str">
        <f>'4. Constituent Tolerances'!C59</f>
        <v>Filter frame seat</v>
      </c>
      <c r="D137" s="149">
        <f>'4. Constituent Tolerances'!D59</f>
        <v>0</v>
      </c>
      <c r="E137" s="149">
        <f>'4. Constituent Tolerances'!E59</f>
        <v>796</v>
      </c>
      <c r="F137" s="149">
        <f>'4. Constituent Tolerances'!F59</f>
        <v>1000</v>
      </c>
      <c r="G137" s="150">
        <f>'4. Constituent Tolerances'!G59</f>
        <v>0.15</v>
      </c>
      <c r="H137" s="149">
        <f>'4. Constituent Tolerances'!H59</f>
        <v>60</v>
      </c>
      <c r="I137" s="149">
        <f>'4. Constituent Tolerances'!I59</f>
        <v>0</v>
      </c>
      <c r="J137" s="149">
        <f>'4. Constituent Tolerances'!J59</f>
        <v>60</v>
      </c>
      <c r="K137" s="149">
        <f>'4. Constituent Tolerances'!K59</f>
        <v>0</v>
      </c>
      <c r="L137" s="151" t="str">
        <f>'4. Constituent Tolerances'!L59</f>
        <v>Opt</v>
      </c>
      <c r="M137" s="151" t="str">
        <f>'4. Constituent Tolerances'!M59</f>
        <v>P</v>
      </c>
      <c r="N137" s="148" t="str">
        <f>'4. Constituent Tolerances'!N59</f>
        <v>Installation of the optic into the frame; piston controlled by PEEK shims; glass centered on frame with CMM or depth gauge; tip/tilt a function of figure errors and figure position wrt glass OD</v>
      </c>
      <c r="P137" s="187"/>
      <c r="Q137" s="187"/>
      <c r="R137"/>
    </row>
    <row r="138" spans="1:18" s="186" customFormat="1" ht="45" outlineLevel="1" x14ac:dyDescent="0.25">
      <c r="A138" s="189">
        <v>42118</v>
      </c>
      <c r="B138" s="148" t="str">
        <f>'4. Constituent Tolerances'!B60</f>
        <v>Filter frame seat</v>
      </c>
      <c r="C138" s="148" t="str">
        <f>'4. Constituent Tolerances'!C60</f>
        <v>Filter frame interface datum features</v>
      </c>
      <c r="D138" s="149">
        <f>'4. Constituent Tolerances'!D60</f>
        <v>0</v>
      </c>
      <c r="E138" s="149">
        <f>'4. Constituent Tolerances'!E60</f>
        <v>796</v>
      </c>
      <c r="F138" s="149">
        <f>'4. Constituent Tolerances'!F60</f>
        <v>1000</v>
      </c>
      <c r="G138" s="150">
        <f>'4. Constituent Tolerances'!G60</f>
        <v>0.08</v>
      </c>
      <c r="H138" s="149">
        <f>'4. Constituent Tolerances'!H60</f>
        <v>60</v>
      </c>
      <c r="I138" s="149">
        <f>'4. Constituent Tolerances'!I60</f>
        <v>0</v>
      </c>
      <c r="J138" s="149">
        <f>'4. Constituent Tolerances'!J60</f>
        <v>60</v>
      </c>
      <c r="K138" s="149">
        <f>'4. Constituent Tolerances'!K60</f>
        <v>0</v>
      </c>
      <c r="L138" s="151" t="str">
        <f>'4. Constituent Tolerances'!L60</f>
        <v>Opt</v>
      </c>
      <c r="M138" s="151" t="str">
        <f>'4. Constituent Tolerances'!M60</f>
        <v>P</v>
      </c>
      <c r="N138" s="148" t="str">
        <f>'4. Constituent Tolerances'!N60</f>
        <v>Fabrication accuracy of frame seat to datums, including datum profile, pin true position &amp; datum size; measured with CMM and /or depth gauge</v>
      </c>
      <c r="P138" s="187"/>
      <c r="Q138" s="187"/>
      <c r="R138"/>
    </row>
    <row r="139" spans="1:18" s="186" customFormat="1" ht="45" outlineLevel="1" x14ac:dyDescent="0.25">
      <c r="A139" s="189">
        <v>42118</v>
      </c>
      <c r="B139" s="148" t="str">
        <f>'4. Constituent Tolerances'!B61</f>
        <v>Filter frame interface datum</v>
      </c>
      <c r="C139" s="148" t="str">
        <f>'4. Constituent Tolerances'!C61</f>
        <v>Filter frame SMR nest position accuracy and measurement precision</v>
      </c>
      <c r="D139" s="149">
        <f>'4. Constituent Tolerances'!D61</f>
        <v>0</v>
      </c>
      <c r="E139" s="149">
        <f>'4. Constituent Tolerances'!E61</f>
        <v>820</v>
      </c>
      <c r="F139" s="149">
        <f>'4. Constituent Tolerances'!F61</f>
        <v>1000</v>
      </c>
      <c r="G139" s="150">
        <f>'4. Constituent Tolerances'!G61</f>
        <v>0.1</v>
      </c>
      <c r="H139" s="149">
        <f>'4. Constituent Tolerances'!H61</f>
        <v>50</v>
      </c>
      <c r="I139" s="149">
        <f>'4. Constituent Tolerances'!I61</f>
        <v>50</v>
      </c>
      <c r="J139" s="149">
        <f>'4. Constituent Tolerances'!J61</f>
        <v>50</v>
      </c>
      <c r="K139" s="149">
        <f>'4. Constituent Tolerances'!K61</f>
        <v>50</v>
      </c>
      <c r="L139" s="151" t="str">
        <f>'4. Constituent Tolerances'!L61</f>
        <v>Opt</v>
      </c>
      <c r="M139" s="151" t="str">
        <f>'4. Constituent Tolerances'!M61</f>
        <v>M</v>
      </c>
      <c r="N139" s="148" t="str">
        <f>'4. Constituent Tolerances'!N61</f>
        <v>Fab accuracy of SMR nests with respect to filter frame datums; measured with CMM; SMR positions to mech center of frame is used for surveying</v>
      </c>
      <c r="P139" s="187"/>
      <c r="Q139" s="187"/>
      <c r="R139"/>
    </row>
    <row r="140" spans="1:18" ht="60" outlineLevel="1" x14ac:dyDescent="0.25">
      <c r="B140" s="1" t="str">
        <f>'4. Constituent Tolerances'!B62</f>
        <v>Filter cell SMR position measurements</v>
      </c>
      <c r="C140" s="1" t="str">
        <f>'4. Constituent Tolerances'!C62</f>
        <v>Survey precision to laser tracker world coordinate system</v>
      </c>
      <c r="D140" s="2">
        <f>'4. Constituent Tolerances'!D62</f>
        <v>200</v>
      </c>
      <c r="E140" s="2">
        <f>'4. Constituent Tolerances'!E62</f>
        <v>820</v>
      </c>
      <c r="F140" s="2">
        <f>'4. Constituent Tolerances'!F62</f>
        <v>1000</v>
      </c>
      <c r="G140" s="3">
        <f>'4. Constituent Tolerances'!G62</f>
        <v>0.24390243902439024</v>
      </c>
      <c r="H140" s="2">
        <f>'4. Constituent Tolerances'!H62</f>
        <v>100</v>
      </c>
      <c r="I140" s="2">
        <f>'4. Constituent Tolerances'!I62</f>
        <v>100</v>
      </c>
      <c r="J140" s="149">
        <f>'4. Constituent Tolerances'!J62</f>
        <v>100</v>
      </c>
      <c r="K140" s="149">
        <f>'4. Constituent Tolerances'!K62</f>
        <v>100</v>
      </c>
      <c r="L140" s="9" t="str">
        <f>'4. Constituent Tolerances'!L62</f>
        <v>I&amp;T</v>
      </c>
      <c r="M140" s="9" t="str">
        <f>'4. Constituent Tolerances'!M62</f>
        <v>M</v>
      </c>
      <c r="N140" s="1" t="str">
        <f>'4. Constituent Tolerances'!N62</f>
        <v>Precision of position survey of Filter fiducials--this may not be possible to survey, so filter position and accuracy would be inferred from filter and auto changer mount accuracies and measurement precisions</v>
      </c>
      <c r="P140" s="4"/>
    </row>
    <row r="141" spans="1:18" s="104" customFormat="1" ht="30" x14ac:dyDescent="0.25">
      <c r="A141" s="91"/>
      <c r="B141" s="92"/>
      <c r="C141" s="126" t="s">
        <v>74</v>
      </c>
      <c r="D141" s="127"/>
      <c r="E141" s="127"/>
      <c r="F141" s="128" t="s">
        <v>58</v>
      </c>
      <c r="G141" s="133">
        <f>SQRT(SUMSQ(G131:G140))</f>
        <v>0.44667311535872473</v>
      </c>
      <c r="H141" s="127">
        <f>SQRT(SUMSQ(H131:H140))</f>
        <v>397.86932528155523</v>
      </c>
      <c r="I141" s="134">
        <f>SQRT(SUMSQ(I131:I140))</f>
        <v>437.14985988788789</v>
      </c>
      <c r="J141" s="127">
        <f>SQRT(SUMSQ(J131:J140))</f>
        <v>397.86932528155523</v>
      </c>
      <c r="K141" s="134">
        <f>SQRT(SUMSQ(K131:K140))</f>
        <v>437.14985988788789</v>
      </c>
      <c r="L141" s="91"/>
      <c r="M141" s="91"/>
      <c r="N141" s="92"/>
      <c r="P141" s="92"/>
      <c r="Q141" s="92"/>
      <c r="R141"/>
    </row>
    <row r="142" spans="1:18" s="104" customFormat="1" ht="120" x14ac:dyDescent="0.25">
      <c r="A142" s="91"/>
      <c r="B142" s="92"/>
      <c r="C142" s="121"/>
      <c r="D142" s="122"/>
      <c r="E142" s="122"/>
      <c r="F142" s="123" t="s">
        <v>59</v>
      </c>
      <c r="G142" s="135">
        <f>SUM(G131:G140)</f>
        <v>1.3030691056910568</v>
      </c>
      <c r="H142" s="122">
        <f>SUM(H131:H140)</f>
        <v>1030</v>
      </c>
      <c r="I142" s="136">
        <f>SUM(I131:I140)</f>
        <v>1010</v>
      </c>
      <c r="J142" s="122">
        <f>SUM(J131:J140)</f>
        <v>1030</v>
      </c>
      <c r="K142" s="136">
        <f>SUM(K131:K140)</f>
        <v>1010</v>
      </c>
      <c r="L142" s="91"/>
      <c r="M142" s="91"/>
      <c r="N142" s="92"/>
      <c r="P142" s="92"/>
      <c r="Q142" s="234" t="s">
        <v>348</v>
      </c>
      <c r="R142" s="8" t="s">
        <v>357</v>
      </c>
    </row>
    <row r="143" spans="1:18" s="104" customFormat="1" ht="120" x14ac:dyDescent="0.25">
      <c r="A143" s="178">
        <v>41885</v>
      </c>
      <c r="B143" s="92"/>
      <c r="C143" s="126" t="s">
        <v>249</v>
      </c>
      <c r="D143" s="127"/>
      <c r="E143" s="127"/>
      <c r="F143" s="128" t="s">
        <v>58</v>
      </c>
      <c r="G143" s="133">
        <f>SQRT(SUMSQ(G76,G141))</f>
        <v>0.46857738168423324</v>
      </c>
      <c r="H143" s="127">
        <f>SQRT(SUMSQ(H76,H141))</f>
        <v>406.38662625632747</v>
      </c>
      <c r="I143" s="134">
        <f>SQRT(SUMSQ(I76,I141))</f>
        <v>482.85608622031469</v>
      </c>
      <c r="J143" s="127">
        <f>SQRT(SUMSQ(J76,J141))</f>
        <v>406.38662625632747</v>
      </c>
      <c r="K143" s="134">
        <f>SQRT(SUMSQ(K76,K141))</f>
        <v>482.85608622031469</v>
      </c>
      <c r="L143" s="91"/>
      <c r="M143" s="91"/>
      <c r="N143" s="92"/>
      <c r="P143" s="179" t="s">
        <v>236</v>
      </c>
      <c r="Q143" s="234" t="s">
        <v>347</v>
      </c>
      <c r="R143" s="8" t="s">
        <v>357</v>
      </c>
    </row>
    <row r="144" spans="1:18" s="104" customFormat="1" x14ac:dyDescent="0.25">
      <c r="B144" s="92"/>
      <c r="C144" s="121"/>
      <c r="D144" s="122"/>
      <c r="E144" s="122"/>
      <c r="F144" s="123" t="s">
        <v>59</v>
      </c>
      <c r="G144" s="135">
        <f>SUM(G77,G142)</f>
        <v>1.654758955315117</v>
      </c>
      <c r="H144" s="122">
        <f>SUM(H77,H142)</f>
        <v>1260.3</v>
      </c>
      <c r="I144" s="136">
        <f>SUM(I77,I142)</f>
        <v>1530</v>
      </c>
      <c r="J144" s="122">
        <f>SUM(J77,J142)</f>
        <v>1260.3</v>
      </c>
      <c r="K144" s="136">
        <f>SUM(K77,K142)</f>
        <v>1530</v>
      </c>
      <c r="L144" s="91"/>
      <c r="M144" s="91"/>
      <c r="N144" s="147"/>
      <c r="Q144" s="92"/>
      <c r="R144"/>
    </row>
    <row r="145" spans="1:18" x14ac:dyDescent="0.25">
      <c r="B145" s="92"/>
      <c r="C145" s="92"/>
      <c r="D145" s="102"/>
      <c r="E145" s="102"/>
      <c r="F145" s="102"/>
      <c r="G145" s="103"/>
      <c r="H145" s="102"/>
      <c r="I145" s="102"/>
      <c r="J145" s="102"/>
      <c r="K145" s="102"/>
      <c r="L145" s="91"/>
      <c r="M145" s="91"/>
      <c r="N145" s="92"/>
      <c r="P145" s="4"/>
    </row>
    <row r="146" spans="1:18" ht="30" x14ac:dyDescent="0.25">
      <c r="B146" s="105" t="s">
        <v>250</v>
      </c>
      <c r="C146" s="106"/>
      <c r="D146" s="107"/>
      <c r="E146" s="107"/>
      <c r="F146" s="107"/>
      <c r="G146" s="107"/>
      <c r="H146" s="107"/>
      <c r="I146" s="107"/>
      <c r="J146" s="107"/>
      <c r="K146" s="107"/>
      <c r="L146" s="106"/>
      <c r="M146" s="106"/>
      <c r="N146" s="15" t="s">
        <v>251</v>
      </c>
      <c r="P146" s="92" t="s">
        <v>225</v>
      </c>
    </row>
    <row r="147" spans="1:18" ht="75" outlineLevel="1" x14ac:dyDescent="0.25">
      <c r="A147" s="178">
        <v>41885</v>
      </c>
      <c r="B147" s="234" t="str">
        <f>'4. Constituent Tolerances'!B65</f>
        <v>Camera front flange mount features</v>
      </c>
      <c r="C147" s="234" t="str">
        <f>'4. Constituent Tolerances'!C65</f>
        <v>Auto changer mounting repeatability</v>
      </c>
      <c r="D147" s="2">
        <f>'4. Constituent Tolerances'!D65</f>
        <v>200</v>
      </c>
      <c r="E147" s="2">
        <f>'4. Constituent Tolerances'!E65</f>
        <v>1200</v>
      </c>
      <c r="F147" s="2">
        <f>'4. Constituent Tolerances'!F65</f>
        <v>1000</v>
      </c>
      <c r="G147" s="3">
        <f>'4. Constituent Tolerances'!G65</f>
        <v>0.16666666666666666</v>
      </c>
      <c r="H147" s="235">
        <f>'4. Constituent Tolerances'!H65</f>
        <v>60</v>
      </c>
      <c r="I147" s="235">
        <f>'4. Constituent Tolerances'!I65</f>
        <v>60</v>
      </c>
      <c r="J147" s="149">
        <f>'4. Constituent Tolerances'!J65</f>
        <v>60</v>
      </c>
      <c r="K147" s="149">
        <f>'4. Constituent Tolerances'!K65</f>
        <v>60</v>
      </c>
      <c r="L147" s="9" t="str">
        <f>'4. Constituent Tolerances'!L65</f>
        <v>Exch</v>
      </c>
      <c r="M147" s="9" t="str">
        <f>'4. Constituent Tolerances'!M65</f>
        <v>P</v>
      </c>
      <c r="N147" s="1" t="str">
        <f>'4. Constituent Tolerances'!N65</f>
        <v>Hysterisis/non-repeatability of auto changer modules after remove/replace cycle</v>
      </c>
      <c r="P147" s="4"/>
      <c r="Q147" s="234" t="str">
        <f>'4. Constituent Tolerances'!R65</f>
        <v>8/30/2016 MN: was +/-100, is +/-60 piston and decenter repeatability</v>
      </c>
      <c r="R147" s="8" t="s">
        <v>357</v>
      </c>
    </row>
    <row r="148" spans="1:18" ht="60" outlineLevel="1" x14ac:dyDescent="0.25">
      <c r="A148" s="175">
        <v>41681</v>
      </c>
      <c r="B148" s="1" t="str">
        <f>'4. Constituent Tolerances'!B67</f>
        <v>Auto changer mount features</v>
      </c>
      <c r="C148" s="1" t="str">
        <f>'4. Constituent Tolerances'!C67</f>
        <v>Auto Changer filter mounts adjustment accuracy</v>
      </c>
      <c r="D148" s="2">
        <f>'4. Constituent Tolerances'!D67</f>
        <v>200</v>
      </c>
      <c r="E148" s="2">
        <f>'4. Constituent Tolerances'!E67</f>
        <v>1200</v>
      </c>
      <c r="F148" s="2">
        <f>'4. Constituent Tolerances'!F67</f>
        <v>1000</v>
      </c>
      <c r="G148" s="3">
        <f>'4. Constituent Tolerances'!G67</f>
        <v>0.16666666666666666</v>
      </c>
      <c r="H148" s="2">
        <f>'4. Constituent Tolerances'!H67</f>
        <v>100</v>
      </c>
      <c r="I148" s="2">
        <f>'4. Constituent Tolerances'!I67</f>
        <v>100</v>
      </c>
      <c r="J148" s="149">
        <f>'4. Constituent Tolerances'!J67</f>
        <v>100</v>
      </c>
      <c r="K148" s="149">
        <f>'4. Constituent Tolerances'!K67</f>
        <v>100</v>
      </c>
      <c r="L148" s="9" t="str">
        <f>'4. Constituent Tolerances'!L67</f>
        <v>Exch</v>
      </c>
      <c r="M148" s="9" t="str">
        <f>'4. Constituent Tolerances'!M67</f>
        <v>P</v>
      </c>
      <c r="N148" s="1" t="str">
        <f>'4. Constituent Tolerances'!N67</f>
        <v>Accuracy with which the filter mount features can be placed with respect to the auto changer mount datums;  includes errors in the filter simulator reference gauge; includes difference in position of the two auto changer modules</v>
      </c>
      <c r="P148" s="4"/>
    </row>
    <row r="149" spans="1:18" ht="30" outlineLevel="1" x14ac:dyDescent="0.25">
      <c r="A149" s="178">
        <v>41885</v>
      </c>
      <c r="B149" s="1" t="str">
        <f>'4. Constituent Tolerances'!B68</f>
        <v>Auto changer mount features</v>
      </c>
      <c r="C149" s="1" t="str">
        <f>'4. Constituent Tolerances'!C68</f>
        <v>Filter placement repeatability</v>
      </c>
      <c r="D149" s="2">
        <f>'4. Constituent Tolerances'!D68</f>
        <v>200</v>
      </c>
      <c r="E149" s="2">
        <f>'4. Constituent Tolerances'!E68</f>
        <v>1200</v>
      </c>
      <c r="F149" s="2">
        <f>'4. Constituent Tolerances'!F68</f>
        <v>1000</v>
      </c>
      <c r="G149" s="3">
        <f>'4. Constituent Tolerances'!G68</f>
        <v>0.16666666666666666</v>
      </c>
      <c r="H149" s="2">
        <f>'4. Constituent Tolerances'!H68</f>
        <v>100</v>
      </c>
      <c r="I149" s="2">
        <f>'4. Constituent Tolerances'!I68</f>
        <v>100</v>
      </c>
      <c r="J149" s="149">
        <f>'4. Constituent Tolerances'!J68</f>
        <v>100</v>
      </c>
      <c r="K149" s="149">
        <f>'4. Constituent Tolerances'!K68</f>
        <v>100</v>
      </c>
      <c r="L149" s="9" t="str">
        <f>'4. Constituent Tolerances'!L68</f>
        <v>Exch</v>
      </c>
      <c r="M149" s="9" t="str">
        <f>'4. Constituent Tolerances'!M68</f>
        <v>P</v>
      </c>
      <c r="N149" s="1" t="str">
        <f>'4. Constituent Tolerances'!N68</f>
        <v>C-094: Auto Changer shall place a filter into position with a repeatability of +/- 0.1 mm in the XY-plane</v>
      </c>
      <c r="P149" s="4"/>
    </row>
    <row r="150" spans="1:18" ht="30" outlineLevel="1" x14ac:dyDescent="0.25">
      <c r="A150" s="175">
        <v>41681</v>
      </c>
      <c r="B150" s="1" t="str">
        <f>'4. Constituent Tolerances'!B69</f>
        <v>Auto changer filter mounts</v>
      </c>
      <c r="C150" s="1" t="str">
        <f>'4. Constituent Tolerances'!C69</f>
        <v>Measurement precision wrt auto changer survey fiducials</v>
      </c>
      <c r="D150" s="2">
        <f>'4. Constituent Tolerances'!D69</f>
        <v>100</v>
      </c>
      <c r="E150" s="2">
        <f>'4. Constituent Tolerances'!E69</f>
        <v>1200</v>
      </c>
      <c r="F150" s="2">
        <f>'4. Constituent Tolerances'!F69</f>
        <v>1000</v>
      </c>
      <c r="G150" s="3">
        <f>'4. Constituent Tolerances'!G69</f>
        <v>8.3333333333333329E-2</v>
      </c>
      <c r="H150" s="2">
        <f>'4. Constituent Tolerances'!H69</f>
        <v>50</v>
      </c>
      <c r="I150" s="2">
        <f>'4. Constituent Tolerances'!I69</f>
        <v>50</v>
      </c>
      <c r="J150" s="149">
        <f>'4. Constituent Tolerances'!J69</f>
        <v>50</v>
      </c>
      <c r="K150" s="149">
        <f>'4. Constituent Tolerances'!K69</f>
        <v>50</v>
      </c>
      <c r="L150" s="9" t="str">
        <f>'4. Constituent Tolerances'!L69</f>
        <v>I&amp;T</v>
      </c>
      <c r="M150" s="9" t="str">
        <f>'4. Constituent Tolerances'!M69</f>
        <v>M</v>
      </c>
      <c r="N150" s="1" t="str">
        <f>'4. Constituent Tolerances'!N69</f>
        <v>Precision of the filter mount location measurements to the survey fiducials on the auto changer perimeter</v>
      </c>
      <c r="P150" s="4"/>
    </row>
    <row r="151" spans="1:18" s="186" customFormat="1" ht="45" outlineLevel="1" x14ac:dyDescent="0.25">
      <c r="A151" s="189">
        <v>42118</v>
      </c>
      <c r="B151" s="148" t="str">
        <f>'4. Constituent Tolerances'!B59</f>
        <v>Filter S1 surface normal at physical center of frame seat</v>
      </c>
      <c r="C151" s="148" t="str">
        <f>'4. Constituent Tolerances'!C59</f>
        <v>Filter frame seat</v>
      </c>
      <c r="D151" s="149">
        <f>'4. Constituent Tolerances'!D59</f>
        <v>0</v>
      </c>
      <c r="E151" s="149">
        <f>'4. Constituent Tolerances'!E59</f>
        <v>796</v>
      </c>
      <c r="F151" s="149">
        <f>'4. Constituent Tolerances'!F59</f>
        <v>1000</v>
      </c>
      <c r="G151" s="150">
        <f>'4. Constituent Tolerances'!G59</f>
        <v>0.15</v>
      </c>
      <c r="H151" s="149">
        <f>'4. Constituent Tolerances'!H59</f>
        <v>60</v>
      </c>
      <c r="I151" s="149">
        <f>'4. Constituent Tolerances'!I59</f>
        <v>0</v>
      </c>
      <c r="J151" s="149">
        <f>'4. Constituent Tolerances'!J59</f>
        <v>60</v>
      </c>
      <c r="K151" s="149">
        <f>'4. Constituent Tolerances'!K59</f>
        <v>0</v>
      </c>
      <c r="L151" s="151" t="str">
        <f>'4. Constituent Tolerances'!L59</f>
        <v>Opt</v>
      </c>
      <c r="M151" s="151" t="str">
        <f>'4. Constituent Tolerances'!M59</f>
        <v>P</v>
      </c>
      <c r="N151" s="148" t="str">
        <f>'4. Constituent Tolerances'!N59</f>
        <v>Installation of the optic into the frame; piston controlled by PEEK shims; glass centered on frame with CMM or depth gauge; tip/tilt a function of figure errors and figure position wrt glass OD</v>
      </c>
      <c r="P151" s="190"/>
      <c r="Q151" s="187"/>
      <c r="R151"/>
    </row>
    <row r="152" spans="1:18" s="186" customFormat="1" ht="45" outlineLevel="1" x14ac:dyDescent="0.25">
      <c r="A152" s="189">
        <v>42118</v>
      </c>
      <c r="B152" s="148" t="str">
        <f>'4. Constituent Tolerances'!B60</f>
        <v>Filter frame seat</v>
      </c>
      <c r="C152" s="148" t="str">
        <f>'4. Constituent Tolerances'!C60</f>
        <v>Filter frame interface datum features</v>
      </c>
      <c r="D152" s="149">
        <f>'4. Constituent Tolerances'!D60</f>
        <v>0</v>
      </c>
      <c r="E152" s="149">
        <f>'4. Constituent Tolerances'!E60</f>
        <v>796</v>
      </c>
      <c r="F152" s="149">
        <f>'4. Constituent Tolerances'!F60</f>
        <v>1000</v>
      </c>
      <c r="G152" s="150">
        <f>'4. Constituent Tolerances'!G60</f>
        <v>0.08</v>
      </c>
      <c r="H152" s="149">
        <f>'4. Constituent Tolerances'!H60</f>
        <v>60</v>
      </c>
      <c r="I152" s="149">
        <f>'4. Constituent Tolerances'!I60</f>
        <v>0</v>
      </c>
      <c r="J152" s="149">
        <f>'4. Constituent Tolerances'!J60</f>
        <v>60</v>
      </c>
      <c r="K152" s="149">
        <f>'4. Constituent Tolerances'!K60</f>
        <v>0</v>
      </c>
      <c r="L152" s="151" t="str">
        <f>'4. Constituent Tolerances'!L60</f>
        <v>Opt</v>
      </c>
      <c r="M152" s="151" t="str">
        <f>'4. Constituent Tolerances'!M60</f>
        <v>P</v>
      </c>
      <c r="N152" s="148" t="str">
        <f>'4. Constituent Tolerances'!N60</f>
        <v>Fabrication accuracy of frame seat to datums, including datum profile, pin true position &amp; datum size; measured with CMM and /or depth gauge</v>
      </c>
      <c r="P152" s="187"/>
      <c r="Q152" s="187"/>
      <c r="R152"/>
    </row>
    <row r="153" spans="1:18" s="186" customFormat="1" ht="45" outlineLevel="1" x14ac:dyDescent="0.25">
      <c r="A153" s="189">
        <v>42118</v>
      </c>
      <c r="B153" s="148" t="str">
        <f>'4. Constituent Tolerances'!B61</f>
        <v>Filter frame interface datum</v>
      </c>
      <c r="C153" s="148" t="str">
        <f>'4. Constituent Tolerances'!C61</f>
        <v>Filter frame SMR nest position accuracy and measurement precision</v>
      </c>
      <c r="D153" s="149">
        <f>'4. Constituent Tolerances'!D61</f>
        <v>0</v>
      </c>
      <c r="E153" s="149">
        <f>'4. Constituent Tolerances'!E61</f>
        <v>820</v>
      </c>
      <c r="F153" s="149">
        <f>'4. Constituent Tolerances'!F61</f>
        <v>1000</v>
      </c>
      <c r="G153" s="150">
        <f>'4. Constituent Tolerances'!G61</f>
        <v>0.1</v>
      </c>
      <c r="H153" s="149">
        <f>'4. Constituent Tolerances'!H61</f>
        <v>50</v>
      </c>
      <c r="I153" s="149">
        <f>'4. Constituent Tolerances'!I61</f>
        <v>50</v>
      </c>
      <c r="J153" s="149">
        <f>'4. Constituent Tolerances'!J61</f>
        <v>50</v>
      </c>
      <c r="K153" s="149">
        <f>'4. Constituent Tolerances'!K61</f>
        <v>50</v>
      </c>
      <c r="L153" s="151" t="str">
        <f>'4. Constituent Tolerances'!L61</f>
        <v>Opt</v>
      </c>
      <c r="M153" s="151" t="str">
        <f>'4. Constituent Tolerances'!M61</f>
        <v>M</v>
      </c>
      <c r="N153" s="148" t="str">
        <f>'4. Constituent Tolerances'!N61</f>
        <v>Fab accuracy of SMR nests with respect to filter frame datums; measured with CMM; SMR positions to mech center of frame is used for surveying</v>
      </c>
      <c r="P153" s="187"/>
      <c r="Q153" s="187"/>
      <c r="R153"/>
    </row>
    <row r="154" spans="1:18" ht="60" outlineLevel="1" x14ac:dyDescent="0.25">
      <c r="A154" s="175">
        <v>41681</v>
      </c>
      <c r="B154" s="1" t="str">
        <f>'4. Constituent Tolerances'!B62</f>
        <v>Filter cell SMR position measurements</v>
      </c>
      <c r="C154" s="1" t="str">
        <f>'4. Constituent Tolerances'!C62</f>
        <v>Survey precision to laser tracker world coordinate system</v>
      </c>
      <c r="D154" s="2">
        <f>'4. Constituent Tolerances'!D62</f>
        <v>200</v>
      </c>
      <c r="E154" s="2">
        <f>'4. Constituent Tolerances'!E62</f>
        <v>820</v>
      </c>
      <c r="F154" s="2">
        <f>'4. Constituent Tolerances'!F62</f>
        <v>1000</v>
      </c>
      <c r="G154" s="3">
        <f>'4. Constituent Tolerances'!G62</f>
        <v>0.24390243902439024</v>
      </c>
      <c r="H154" s="2">
        <f>'4. Constituent Tolerances'!H62</f>
        <v>100</v>
      </c>
      <c r="I154" s="2">
        <f>'4. Constituent Tolerances'!I62</f>
        <v>100</v>
      </c>
      <c r="J154" s="149">
        <f>'4. Constituent Tolerances'!J62</f>
        <v>100</v>
      </c>
      <c r="K154" s="149">
        <f>'4. Constituent Tolerances'!K62</f>
        <v>100</v>
      </c>
      <c r="L154" s="9" t="str">
        <f>'4. Constituent Tolerances'!L62</f>
        <v>I&amp;T</v>
      </c>
      <c r="M154" s="9" t="str">
        <f>'4. Constituent Tolerances'!M62</f>
        <v>M</v>
      </c>
      <c r="N154" s="1" t="str">
        <f>'4. Constituent Tolerances'!N62</f>
        <v>Precision of position survey of Filter fiducials--this may not be possible to survey, so filter position and accuracy would be inferred from filter and auto changer mount accuracies and measurement precisions</v>
      </c>
      <c r="P154" s="4"/>
    </row>
    <row r="155" spans="1:18" s="104" customFormat="1" ht="120" x14ac:dyDescent="0.25">
      <c r="A155" s="91"/>
      <c r="B155" s="92"/>
      <c r="C155" s="126" t="s">
        <v>250</v>
      </c>
      <c r="D155" s="127"/>
      <c r="E155" s="127"/>
      <c r="F155" s="128" t="s">
        <v>58</v>
      </c>
      <c r="G155" s="133">
        <f>SQRT(SUMSQ(G147:G154))</f>
        <v>0.43435720040057374</v>
      </c>
      <c r="H155" s="127">
        <f>SQRT(SUMSQ(H147:H154))</f>
        <v>214.00934559032697</v>
      </c>
      <c r="I155" s="134">
        <f>SQRT(SUMSQ(I147:I154))</f>
        <v>196.468827043885</v>
      </c>
      <c r="J155" s="127">
        <f>SQRT(SUMSQ(J147:J154))</f>
        <v>214.00934559032697</v>
      </c>
      <c r="K155" s="134">
        <f>SQRT(SUMSQ(K147:K154))</f>
        <v>196.468827043885</v>
      </c>
      <c r="L155" s="91"/>
      <c r="M155" s="91"/>
      <c r="N155" s="92"/>
      <c r="P155" s="92"/>
      <c r="Q155" s="234" t="s">
        <v>349</v>
      </c>
      <c r="R155" s="8" t="s">
        <v>357</v>
      </c>
    </row>
    <row r="156" spans="1:18" s="104" customFormat="1" x14ac:dyDescent="0.25">
      <c r="A156" s="91"/>
      <c r="B156" s="92"/>
      <c r="C156" s="121"/>
      <c r="D156" s="122"/>
      <c r="E156" s="122"/>
      <c r="F156" s="123" t="s">
        <v>59</v>
      </c>
      <c r="G156" s="135">
        <f>SUM(G147:G154)</f>
        <v>1.1572357723577236</v>
      </c>
      <c r="H156" s="122">
        <f>SUM(H147:H154)</f>
        <v>580</v>
      </c>
      <c r="I156" s="136">
        <f>SUM(I147:I154)</f>
        <v>460</v>
      </c>
      <c r="J156" s="122">
        <f>SUM(J147:J154)</f>
        <v>580</v>
      </c>
      <c r="K156" s="136">
        <f>SUM(K147:K154)</f>
        <v>460</v>
      </c>
      <c r="L156" s="91"/>
      <c r="M156" s="91"/>
      <c r="N156" s="92"/>
      <c r="P156" s="92"/>
      <c r="Q156" s="92"/>
      <c r="R156"/>
    </row>
    <row r="157" spans="1:18" x14ac:dyDescent="0.25">
      <c r="R157" s="186" t="s">
        <v>358</v>
      </c>
    </row>
    <row r="158" spans="1:18" x14ac:dyDescent="0.25">
      <c r="B158" s="93" t="s">
        <v>302</v>
      </c>
      <c r="C158" s="94"/>
      <c r="D158" s="13"/>
      <c r="E158" s="13"/>
      <c r="F158" s="13"/>
      <c r="G158" s="13"/>
      <c r="H158" s="13"/>
      <c r="I158" s="13"/>
      <c r="J158" s="13"/>
      <c r="K158" s="13"/>
      <c r="L158" s="94"/>
      <c r="M158" s="94"/>
      <c r="N158" s="95" t="s">
        <v>83</v>
      </c>
      <c r="P158" s="92" t="s">
        <v>225</v>
      </c>
      <c r="R158" s="186" t="s">
        <v>358</v>
      </c>
    </row>
    <row r="159" spans="1:18" outlineLevel="1" x14ac:dyDescent="0.25">
      <c r="B159" s="216" t="str">
        <f>'4. Constituent Tolerances'!B22</f>
        <v>Grid K-C ball best-fit plane</v>
      </c>
      <c r="C159" s="216" t="str">
        <f>'4. Constituent Tolerances'!C22</f>
        <v>K-C ball co-planarity profile tolerance</v>
      </c>
      <c r="D159" s="216">
        <f>'4. Constituent Tolerances'!D22</f>
        <v>0</v>
      </c>
      <c r="E159" s="216">
        <f>'4. Constituent Tolerances'!E22</f>
        <v>800</v>
      </c>
      <c r="F159" s="216">
        <f>'4. Constituent Tolerances'!F22</f>
        <v>938</v>
      </c>
      <c r="G159" s="216">
        <f>'4. Constituent Tolerances'!G22</f>
        <v>0</v>
      </c>
      <c r="H159" s="216">
        <f>'4. Constituent Tolerances'!H22</f>
        <v>4</v>
      </c>
      <c r="I159" s="216">
        <f>'4. Constituent Tolerances'!I22</f>
        <v>0</v>
      </c>
      <c r="J159" s="148">
        <f>'4. Constituent Tolerances'!J22</f>
        <v>4</v>
      </c>
      <c r="K159" s="148">
        <f>'4. Constituent Tolerances'!K22</f>
        <v>0</v>
      </c>
      <c r="L159" s="216" t="str">
        <f>'4. Constituent Tolerances'!L22</f>
        <v>Cryo</v>
      </c>
      <c r="M159" s="217" t="str">
        <f>'4. Constituent Tolerances'!M22</f>
        <v>P</v>
      </c>
      <c r="N159" s="216" t="str">
        <f>'4. Constituent Tolerances'!N22</f>
        <v>Spread/variability of K-C balls wrt best-fit interface plane</v>
      </c>
      <c r="P159" s="92" t="s">
        <v>225</v>
      </c>
      <c r="R159" s="186" t="s">
        <v>358</v>
      </c>
    </row>
    <row r="160" spans="1:18" ht="30" outlineLevel="1" x14ac:dyDescent="0.25">
      <c r="B160" s="216" t="str">
        <f>'4. Constituent Tolerances'!B23</f>
        <v>Grid K-C ball best-fit plane</v>
      </c>
      <c r="C160" s="216" t="str">
        <f>'4. Constituent Tolerances'!C23</f>
        <v>Metrology precision and best-fit plane definition error of K-C ball plane</v>
      </c>
      <c r="D160" s="216">
        <f>'4. Constituent Tolerances'!D23</f>
        <v>0.6</v>
      </c>
      <c r="E160" s="216">
        <f>'4. Constituent Tolerances'!E23</f>
        <v>800</v>
      </c>
      <c r="F160" s="216">
        <f>'4. Constituent Tolerances'!F23</f>
        <v>938</v>
      </c>
      <c r="G160" s="216">
        <f>'4. Constituent Tolerances'!G23</f>
        <v>7.5000000000000002E-4</v>
      </c>
      <c r="H160" s="216">
        <f>'4. Constituent Tolerances'!H23</f>
        <v>0.3</v>
      </c>
      <c r="I160" s="216">
        <f>'4. Constituent Tolerances'!I23</f>
        <v>0</v>
      </c>
      <c r="J160" s="148">
        <f>'4. Constituent Tolerances'!J23</f>
        <v>0.3</v>
      </c>
      <c r="K160" s="148">
        <f>'4. Constituent Tolerances'!K23</f>
        <v>0</v>
      </c>
      <c r="L160" s="216" t="str">
        <f>'4. Constituent Tolerances'!L23</f>
        <v>Cryo</v>
      </c>
      <c r="M160" s="217" t="str">
        <f>'4. Constituent Tolerances'!M23</f>
        <v>M</v>
      </c>
      <c r="N160" s="216" t="str">
        <f>'4. Constituent Tolerances'!N23</f>
        <v>Measurement precision of metrology system and imprecision of best-fit plane definition</v>
      </c>
      <c r="P160" s="4"/>
      <c r="R160" s="186" t="s">
        <v>358</v>
      </c>
    </row>
    <row r="161" spans="1:18" ht="30" outlineLevel="1" x14ac:dyDescent="0.25">
      <c r="B161" s="216" t="str">
        <f>'4. Constituent Tolerances'!B25</f>
        <v>Grid K-C ball best-fit plane</v>
      </c>
      <c r="C161" s="216" t="str">
        <f>'4. Constituent Tolerances'!C25</f>
        <v>RSA mounting repeatability on K-C balls</v>
      </c>
      <c r="D161" s="216">
        <f>'4. Constituent Tolerances'!D25</f>
        <v>0</v>
      </c>
      <c r="E161" s="216">
        <f>'4. Constituent Tolerances'!E25</f>
        <v>0</v>
      </c>
      <c r="F161" s="216">
        <f>'4. Constituent Tolerances'!F25</f>
        <v>0</v>
      </c>
      <c r="G161" s="216">
        <f>'4. Constituent Tolerances'!G25</f>
        <v>0</v>
      </c>
      <c r="H161" s="216">
        <f>'4. Constituent Tolerances'!H25</f>
        <v>2</v>
      </c>
      <c r="I161" s="216">
        <f>'4. Constituent Tolerances'!I25</f>
        <v>2</v>
      </c>
      <c r="J161" s="148">
        <f>'4. Constituent Tolerances'!J25</f>
        <v>2</v>
      </c>
      <c r="K161" s="148">
        <f>'4. Constituent Tolerances'!K25</f>
        <v>2</v>
      </c>
      <c r="L161" s="216" t="str">
        <f>'4. Constituent Tolerances'!L25</f>
        <v>I&amp;T</v>
      </c>
      <c r="M161" s="217" t="str">
        <f>'4. Constituent Tolerances'!M25</f>
        <v>P</v>
      </c>
      <c r="N161" s="216" t="str">
        <f>'4. Constituent Tolerances'!N25</f>
        <v>Placement error of RSA due to friction and surface finish causing sticking of vee-blocks on balls</v>
      </c>
      <c r="P161" s="92" t="s">
        <v>225</v>
      </c>
      <c r="R161" s="186" t="s">
        <v>358</v>
      </c>
    </row>
    <row r="162" spans="1:18" ht="30" outlineLevel="1" x14ac:dyDescent="0.25">
      <c r="A162" s="189">
        <v>42401</v>
      </c>
      <c r="B162" s="216" t="str">
        <f>'4. Constituent Tolerances'!B27</f>
        <v>Detector plane best-fit plane</v>
      </c>
      <c r="C162" s="216" t="str">
        <f>'4. Constituent Tolerances'!C27</f>
        <v>Metrology precision and best-fit plane definition error of detector plane</v>
      </c>
      <c r="D162" s="216">
        <f>'4. Constituent Tolerances'!D27</f>
        <v>0</v>
      </c>
      <c r="E162" s="216">
        <f>'4. Constituent Tolerances'!E27</f>
        <v>0</v>
      </c>
      <c r="F162" s="216">
        <f>'4. Constituent Tolerances'!F27</f>
        <v>0</v>
      </c>
      <c r="G162" s="216">
        <f>'4. Constituent Tolerances'!G27</f>
        <v>0</v>
      </c>
      <c r="H162" s="216">
        <f>'4. Constituent Tolerances'!H27</f>
        <v>1</v>
      </c>
      <c r="I162" s="216">
        <f>'4. Constituent Tolerances'!I27</f>
        <v>0</v>
      </c>
      <c r="J162" s="148">
        <f>'4. Constituent Tolerances'!J27</f>
        <v>1</v>
      </c>
      <c r="K162" s="148">
        <f>'4. Constituent Tolerances'!K27</f>
        <v>0</v>
      </c>
      <c r="L162" s="216" t="str">
        <f>'4. Constituent Tolerances'!L27</f>
        <v>I&amp;T</v>
      </c>
      <c r="M162" s="217">
        <f>'4. Constituent Tolerances'!M27</f>
        <v>0</v>
      </c>
      <c r="N162" s="216" t="str">
        <f>'4. Constituent Tolerances'!N27</f>
        <v>Measurement precision of detector metrology system and imprecision of best-fit plane definition</v>
      </c>
      <c r="P162" s="92" t="s">
        <v>225</v>
      </c>
      <c r="R162" s="186" t="s">
        <v>358</v>
      </c>
    </row>
    <row r="163" spans="1:18" ht="45" outlineLevel="1" x14ac:dyDescent="0.25">
      <c r="B163" s="216" t="str">
        <f>'4. Constituent Tolerances'!B36</f>
        <v>WFS split-plane</v>
      </c>
      <c r="C163" s="216" t="str">
        <f>'4. Constituent Tolerances'!C36</f>
        <v>Corner raft plate K-C V-groove mount</v>
      </c>
      <c r="D163" s="216">
        <f>'4. Constituent Tolerances'!D36</f>
        <v>36</v>
      </c>
      <c r="E163" s="216">
        <f>'4. Constituent Tolerances'!E36</f>
        <v>0</v>
      </c>
      <c r="F163" s="216">
        <f>'4. Constituent Tolerances'!F36</f>
        <v>0</v>
      </c>
      <c r="G163" s="216">
        <f>'4. Constituent Tolerances'!G36</f>
        <v>0</v>
      </c>
      <c r="H163" s="216">
        <f>'4. Constituent Tolerances'!H36</f>
        <v>18</v>
      </c>
      <c r="I163" s="216">
        <f>'4. Constituent Tolerances'!I36</f>
        <v>0</v>
      </c>
      <c r="J163" s="148">
        <f>'4. Constituent Tolerances'!J36</f>
        <v>18</v>
      </c>
      <c r="K163" s="148">
        <f>'4. Constituent Tolerances'!K36</f>
        <v>0</v>
      </c>
      <c r="L163" s="216" t="str">
        <f>'4. Constituent Tolerances'!L36</f>
        <v>CRft</v>
      </c>
      <c r="M163" s="217" t="str">
        <f>'4. Constituent Tolerances'!M36</f>
        <v>P</v>
      </c>
      <c r="N163" s="216" t="str">
        <f>'4. Constituent Tolerances'!N36</f>
        <v>Tolerance on positioning of WFS pair--as defined by their split-plane position--with respect to the raft V-grooves, either by dead-reckoning or shimming</v>
      </c>
      <c r="P163" s="92"/>
      <c r="R163" s="186" t="s">
        <v>358</v>
      </c>
    </row>
    <row r="164" spans="1:18" s="104" customFormat="1" ht="30" x14ac:dyDescent="0.25">
      <c r="A164" s="91"/>
      <c r="B164" s="92"/>
      <c r="C164" s="116" t="s">
        <v>84</v>
      </c>
      <c r="D164" s="117"/>
      <c r="E164" s="117"/>
      <c r="F164" s="118" t="s">
        <v>58</v>
      </c>
      <c r="G164" s="119">
        <f>SQRT(SUMSQ(G159:G163))</f>
        <v>7.5000000000000002E-4</v>
      </c>
      <c r="H164" s="118">
        <f>SQRT(SUMSQ(H159:H163))</f>
        <v>18.576598181583194</v>
      </c>
      <c r="I164" s="120">
        <f>SQRT(SUMSQ(I159:I163))</f>
        <v>2</v>
      </c>
      <c r="J164" s="118">
        <f>SQRT(SUMSQ(J159:J163))</f>
        <v>18.576598181583194</v>
      </c>
      <c r="K164" s="120">
        <f>SQRT(SUMSQ(K159:K163))</f>
        <v>2</v>
      </c>
      <c r="L164" s="91"/>
      <c r="M164" s="91"/>
      <c r="N164" s="92"/>
      <c r="P164" s="92"/>
      <c r="Q164" s="92"/>
      <c r="R164" s="186" t="s">
        <v>358</v>
      </c>
    </row>
    <row r="165" spans="1:18" s="104" customFormat="1" x14ac:dyDescent="0.25">
      <c r="A165" s="91"/>
      <c r="B165" s="92"/>
      <c r="C165" s="121"/>
      <c r="D165" s="122"/>
      <c r="E165" s="122"/>
      <c r="F165" s="123" t="s">
        <v>59</v>
      </c>
      <c r="G165" s="124">
        <f>SUM(G159:G163)</f>
        <v>7.5000000000000002E-4</v>
      </c>
      <c r="H165" s="123">
        <f>SUM(H159:H163)</f>
        <v>25.3</v>
      </c>
      <c r="I165" s="125">
        <f>SUM(I159:I163)</f>
        <v>2</v>
      </c>
      <c r="J165" s="123">
        <f>SUM(J159:J163)</f>
        <v>25.3</v>
      </c>
      <c r="K165" s="125">
        <f>SUM(K159:K163)</f>
        <v>2</v>
      </c>
      <c r="L165" s="91"/>
      <c r="M165" s="91"/>
      <c r="N165" s="92" t="s">
        <v>309</v>
      </c>
      <c r="P165" s="92" t="s">
        <v>336</v>
      </c>
      <c r="Q165" s="92"/>
      <c r="R165" s="186" t="s">
        <v>358</v>
      </c>
    </row>
    <row r="166" spans="1:18" x14ac:dyDescent="0.25">
      <c r="B166" s="92"/>
      <c r="C166" s="92"/>
      <c r="D166" s="102"/>
      <c r="E166" s="102"/>
      <c r="F166" s="102"/>
      <c r="G166" s="103"/>
      <c r="H166" s="102"/>
      <c r="I166" s="102"/>
      <c r="J166" s="102"/>
      <c r="K166" s="102"/>
      <c r="L166" s="91"/>
      <c r="M166" s="91"/>
      <c r="N166" s="92"/>
      <c r="P166" s="4"/>
      <c r="R166" s="186" t="s">
        <v>358</v>
      </c>
    </row>
    <row r="167" spans="1:18" x14ac:dyDescent="0.25">
      <c r="B167" s="93" t="s">
        <v>303</v>
      </c>
      <c r="C167" s="94"/>
      <c r="D167" s="13"/>
      <c r="E167" s="13"/>
      <c r="F167" s="13"/>
      <c r="G167" s="13"/>
      <c r="H167" s="13"/>
      <c r="I167" s="13"/>
      <c r="J167" s="13"/>
      <c r="K167" s="13"/>
      <c r="L167" s="94"/>
      <c r="M167" s="94"/>
      <c r="N167" s="95" t="s">
        <v>83</v>
      </c>
      <c r="P167" s="92" t="s">
        <v>225</v>
      </c>
      <c r="R167" s="186" t="s">
        <v>358</v>
      </c>
    </row>
    <row r="168" spans="1:18" outlineLevel="1" x14ac:dyDescent="0.25">
      <c r="B168" s="216" t="str">
        <f>'4. Constituent Tolerances'!B22</f>
        <v>Grid K-C ball best-fit plane</v>
      </c>
      <c r="C168" s="216" t="str">
        <f>'4. Constituent Tolerances'!C22</f>
        <v>K-C ball co-planarity profile tolerance</v>
      </c>
      <c r="D168" s="216">
        <f>'4. Constituent Tolerances'!D22</f>
        <v>0</v>
      </c>
      <c r="E168" s="216">
        <f>'4. Constituent Tolerances'!E22</f>
        <v>800</v>
      </c>
      <c r="F168" s="216">
        <f>'4. Constituent Tolerances'!F22</f>
        <v>938</v>
      </c>
      <c r="G168" s="216">
        <f>'4. Constituent Tolerances'!G22</f>
        <v>0</v>
      </c>
      <c r="H168" s="216">
        <f>'4. Constituent Tolerances'!H22</f>
        <v>4</v>
      </c>
      <c r="I168" s="216">
        <f>'4. Constituent Tolerances'!I22</f>
        <v>0</v>
      </c>
      <c r="J168" s="148">
        <f>'4. Constituent Tolerances'!J22</f>
        <v>4</v>
      </c>
      <c r="K168" s="148">
        <f>'4. Constituent Tolerances'!K22</f>
        <v>0</v>
      </c>
      <c r="L168" s="216" t="str">
        <f>'4. Constituent Tolerances'!L22</f>
        <v>Cryo</v>
      </c>
      <c r="M168" s="217" t="str">
        <f>'4. Constituent Tolerances'!M22</f>
        <v>P</v>
      </c>
      <c r="N168" s="216" t="str">
        <f>'4. Constituent Tolerances'!N22</f>
        <v>Spread/variability of K-C balls wrt best-fit interface plane</v>
      </c>
      <c r="P168" s="92" t="s">
        <v>225</v>
      </c>
      <c r="R168" s="186" t="s">
        <v>358</v>
      </c>
    </row>
    <row r="169" spans="1:18" ht="30" outlineLevel="1" x14ac:dyDescent="0.25">
      <c r="B169" s="216" t="str">
        <f>'4. Constituent Tolerances'!B23</f>
        <v>Grid K-C ball best-fit plane</v>
      </c>
      <c r="C169" s="216" t="str">
        <f>'4. Constituent Tolerances'!C23</f>
        <v>Metrology precision and best-fit plane definition error of K-C ball plane</v>
      </c>
      <c r="D169" s="216">
        <f>'4. Constituent Tolerances'!D23</f>
        <v>0.6</v>
      </c>
      <c r="E169" s="216">
        <f>'4. Constituent Tolerances'!E23</f>
        <v>800</v>
      </c>
      <c r="F169" s="216">
        <f>'4. Constituent Tolerances'!F23</f>
        <v>938</v>
      </c>
      <c r="G169" s="216">
        <f>'4. Constituent Tolerances'!G23</f>
        <v>7.5000000000000002E-4</v>
      </c>
      <c r="H169" s="216">
        <f>'4. Constituent Tolerances'!H23</f>
        <v>0.3</v>
      </c>
      <c r="I169" s="216">
        <f>'4. Constituent Tolerances'!I23</f>
        <v>0</v>
      </c>
      <c r="J169" s="148">
        <f>'4. Constituent Tolerances'!J23</f>
        <v>0.3</v>
      </c>
      <c r="K169" s="148">
        <f>'4. Constituent Tolerances'!K23</f>
        <v>0</v>
      </c>
      <c r="L169" s="216" t="str">
        <f>'4. Constituent Tolerances'!L23</f>
        <v>Cryo</v>
      </c>
      <c r="M169" s="217" t="str">
        <f>'4. Constituent Tolerances'!M23</f>
        <v>M</v>
      </c>
      <c r="N169" s="216" t="str">
        <f>'4. Constituent Tolerances'!N23</f>
        <v>Measurement precision of metrology system and imprecision of best-fit plane definition</v>
      </c>
      <c r="P169" s="4"/>
      <c r="R169" s="186" t="s">
        <v>358</v>
      </c>
    </row>
    <row r="170" spans="1:18" ht="30" outlineLevel="1" x14ac:dyDescent="0.25">
      <c r="B170" s="216" t="str">
        <f>'4. Constituent Tolerances'!B25</f>
        <v>Grid K-C ball best-fit plane</v>
      </c>
      <c r="C170" s="216" t="str">
        <f>'4. Constituent Tolerances'!C25</f>
        <v>RSA mounting repeatability on K-C balls</v>
      </c>
      <c r="D170" s="216">
        <f>'4. Constituent Tolerances'!D25</f>
        <v>0</v>
      </c>
      <c r="E170" s="216">
        <f>'4. Constituent Tolerances'!E25</f>
        <v>0</v>
      </c>
      <c r="F170" s="216">
        <f>'4. Constituent Tolerances'!F25</f>
        <v>0</v>
      </c>
      <c r="G170" s="216">
        <f>'4. Constituent Tolerances'!G25</f>
        <v>0</v>
      </c>
      <c r="H170" s="216">
        <f>'4. Constituent Tolerances'!H25</f>
        <v>2</v>
      </c>
      <c r="I170" s="216">
        <f>'4. Constituent Tolerances'!I25</f>
        <v>2</v>
      </c>
      <c r="J170" s="148">
        <f>'4. Constituent Tolerances'!J25</f>
        <v>2</v>
      </c>
      <c r="K170" s="148">
        <f>'4. Constituent Tolerances'!K25</f>
        <v>2</v>
      </c>
      <c r="L170" s="216" t="str">
        <f>'4. Constituent Tolerances'!L25</f>
        <v>I&amp;T</v>
      </c>
      <c r="M170" s="217" t="str">
        <f>'4. Constituent Tolerances'!M25</f>
        <v>P</v>
      </c>
      <c r="N170" s="216" t="str">
        <f>'4. Constituent Tolerances'!N25</f>
        <v>Placement error of RSA due to friction and surface finish causing sticking of vee-blocks on balls</v>
      </c>
      <c r="P170" s="92" t="s">
        <v>225</v>
      </c>
      <c r="R170" s="186" t="s">
        <v>358</v>
      </c>
    </row>
    <row r="171" spans="1:18" ht="30" outlineLevel="1" x14ac:dyDescent="0.25">
      <c r="A171" s="189">
        <v>42401</v>
      </c>
      <c r="B171" s="216" t="str">
        <f>'4. Constituent Tolerances'!B27</f>
        <v>Detector plane best-fit plane</v>
      </c>
      <c r="C171" s="216" t="str">
        <f>'4. Constituent Tolerances'!C27</f>
        <v>Metrology precision and best-fit plane definition error of detector plane</v>
      </c>
      <c r="D171" s="216">
        <f>'4. Constituent Tolerances'!D27</f>
        <v>0</v>
      </c>
      <c r="E171" s="216">
        <f>'4. Constituent Tolerances'!E27</f>
        <v>0</v>
      </c>
      <c r="F171" s="216">
        <f>'4. Constituent Tolerances'!F27</f>
        <v>0</v>
      </c>
      <c r="G171" s="216">
        <f>'4. Constituent Tolerances'!G27</f>
        <v>0</v>
      </c>
      <c r="H171" s="216">
        <f>'4. Constituent Tolerances'!H27</f>
        <v>1</v>
      </c>
      <c r="I171" s="216">
        <f>'4. Constituent Tolerances'!I27</f>
        <v>0</v>
      </c>
      <c r="J171" s="148">
        <f>'4. Constituent Tolerances'!J27</f>
        <v>1</v>
      </c>
      <c r="K171" s="148">
        <f>'4. Constituent Tolerances'!K27</f>
        <v>0</v>
      </c>
      <c r="L171" s="216" t="str">
        <f>'4. Constituent Tolerances'!L27</f>
        <v>I&amp;T</v>
      </c>
      <c r="M171" s="217">
        <f>'4. Constituent Tolerances'!M27</f>
        <v>0</v>
      </c>
      <c r="N171" s="216" t="str">
        <f>'4. Constituent Tolerances'!N27</f>
        <v>Measurement precision of detector metrology system and imprecision of best-fit plane definition</v>
      </c>
      <c r="P171" s="92" t="s">
        <v>225</v>
      </c>
      <c r="Q171" s="4" t="s">
        <v>335</v>
      </c>
      <c r="R171" s="186" t="s">
        <v>358</v>
      </c>
    </row>
    <row r="172" spans="1:18" ht="45" outlineLevel="1" x14ac:dyDescent="0.25">
      <c r="B172" s="216" t="str">
        <f>'4. Constituent Tolerances'!B32</f>
        <v>WFS half-sensor height</v>
      </c>
      <c r="C172" s="216" t="str">
        <f>'4. Constituent Tolerances'!C32</f>
        <v>Corner raft plate K-C V-groove mount</v>
      </c>
      <c r="D172" s="216">
        <f>'4. Constituent Tolerances'!D32</f>
        <v>30</v>
      </c>
      <c r="E172" s="216">
        <f>'4. Constituent Tolerances'!E32</f>
        <v>0</v>
      </c>
      <c r="F172" s="216">
        <f>'4. Constituent Tolerances'!F32</f>
        <v>0</v>
      </c>
      <c r="G172" s="216">
        <f>'4. Constituent Tolerances'!G32</f>
        <v>0</v>
      </c>
      <c r="H172" s="216">
        <v>14</v>
      </c>
      <c r="I172" s="216">
        <f>'4. Constituent Tolerances'!I32</f>
        <v>0</v>
      </c>
      <c r="J172" s="148">
        <v>14</v>
      </c>
      <c r="K172" s="148">
        <f>'4. Constituent Tolerances'!K32</f>
        <v>0</v>
      </c>
      <c r="L172" s="216" t="str">
        <f>'4. Constituent Tolerances'!L32</f>
        <v>CRft</v>
      </c>
      <c r="M172" s="217" t="str">
        <f>'4. Constituent Tolerances'!M32</f>
        <v>P</v>
      </c>
      <c r="N172" s="216" t="str">
        <f>'4. Constituent Tolerances'!N32</f>
        <v>Profile tolerance of WFS with respect to K-C ball grooves, incl sensor, step plate, raft plate fab tol's and measurement precision</v>
      </c>
      <c r="P172" s="92"/>
      <c r="R172" s="186" t="s">
        <v>358</v>
      </c>
    </row>
    <row r="173" spans="1:18" s="104" customFormat="1" ht="30" x14ac:dyDescent="0.25">
      <c r="A173" s="91"/>
      <c r="B173" s="92"/>
      <c r="C173" s="116" t="s">
        <v>84</v>
      </c>
      <c r="D173" s="117"/>
      <c r="E173" s="117"/>
      <c r="F173" s="118" t="s">
        <v>58</v>
      </c>
      <c r="G173" s="119">
        <f>SQRT(SUMSQ(G168:G172))</f>
        <v>7.5000000000000002E-4</v>
      </c>
      <c r="H173" s="118">
        <f>SQRT(SUMSQ(H168:H172))</f>
        <v>14.733974345029925</v>
      </c>
      <c r="I173" s="120">
        <f>SQRT(SUMSQ(I168:I172))</f>
        <v>2</v>
      </c>
      <c r="J173" s="118">
        <f>SQRT(SUMSQ(J168:J172))</f>
        <v>14.733974345029925</v>
      </c>
      <c r="K173" s="120">
        <f>SQRT(SUMSQ(K168:K172))</f>
        <v>2</v>
      </c>
      <c r="L173" s="91"/>
      <c r="M173" s="91"/>
      <c r="N173" s="92" t="s">
        <v>308</v>
      </c>
      <c r="P173" s="92" t="s">
        <v>337</v>
      </c>
      <c r="Q173" s="92"/>
      <c r="R173" s="186" t="s">
        <v>358</v>
      </c>
    </row>
    <row r="174" spans="1:18" s="104" customFormat="1" x14ac:dyDescent="0.25">
      <c r="A174" s="91"/>
      <c r="B174" s="92"/>
      <c r="C174" s="121"/>
      <c r="D174" s="122"/>
      <c r="E174" s="122"/>
      <c r="F174" s="123" t="s">
        <v>59</v>
      </c>
      <c r="G174" s="124">
        <f>SUM(G168:G172)</f>
        <v>7.5000000000000002E-4</v>
      </c>
      <c r="H174" s="123">
        <f>SUM(H168:H172)</f>
        <v>21.3</v>
      </c>
      <c r="I174" s="125">
        <f>SUM(I168:I172)</f>
        <v>2</v>
      </c>
      <c r="J174" s="123">
        <f>SUM(J168:J172)</f>
        <v>21.3</v>
      </c>
      <c r="K174" s="125">
        <f>SUM(K168:K172)</f>
        <v>2</v>
      </c>
      <c r="L174" s="91"/>
      <c r="M174" s="91"/>
      <c r="N174" s="92"/>
      <c r="P174" s="92"/>
      <c r="Q174" s="92"/>
      <c r="R174" s="186" t="s">
        <v>358</v>
      </c>
    </row>
    <row r="175" spans="1:18" x14ac:dyDescent="0.25">
      <c r="R175" s="186" t="s">
        <v>358</v>
      </c>
    </row>
    <row r="176" spans="1:18" x14ac:dyDescent="0.25">
      <c r="B176" s="93" t="s">
        <v>306</v>
      </c>
      <c r="C176" s="94"/>
      <c r="D176" s="13"/>
      <c r="E176" s="13"/>
      <c r="F176" s="13"/>
      <c r="G176" s="13"/>
      <c r="H176" s="13"/>
      <c r="I176" s="13"/>
      <c r="J176" s="13"/>
      <c r="K176" s="13"/>
      <c r="L176" s="94"/>
      <c r="M176" s="94"/>
      <c r="N176" s="95" t="s">
        <v>83</v>
      </c>
      <c r="P176" s="92" t="s">
        <v>225</v>
      </c>
      <c r="R176" s="186" t="s">
        <v>358</v>
      </c>
    </row>
    <row r="177" spans="1:18" outlineLevel="1" x14ac:dyDescent="0.25">
      <c r="B177" s="216" t="str">
        <f>'4. Constituent Tolerances'!B22</f>
        <v>Grid K-C ball best-fit plane</v>
      </c>
      <c r="C177" s="216" t="str">
        <f>'4. Constituent Tolerances'!C22</f>
        <v>K-C ball co-planarity profile tolerance</v>
      </c>
      <c r="D177" s="216">
        <f>'4. Constituent Tolerances'!D22</f>
        <v>0</v>
      </c>
      <c r="E177" s="216">
        <f>'4. Constituent Tolerances'!E22</f>
        <v>800</v>
      </c>
      <c r="F177" s="216">
        <f>'4. Constituent Tolerances'!F22</f>
        <v>938</v>
      </c>
      <c r="G177" s="216">
        <f>'4. Constituent Tolerances'!G22</f>
        <v>0</v>
      </c>
      <c r="H177" s="216">
        <f>'4. Constituent Tolerances'!H22</f>
        <v>4</v>
      </c>
      <c r="I177" s="216">
        <f>'4. Constituent Tolerances'!I22</f>
        <v>0</v>
      </c>
      <c r="J177" s="148">
        <f>'4. Constituent Tolerances'!J22</f>
        <v>4</v>
      </c>
      <c r="K177" s="148">
        <f>'4. Constituent Tolerances'!K22</f>
        <v>0</v>
      </c>
      <c r="L177" s="216" t="str">
        <f>'4. Constituent Tolerances'!L22</f>
        <v>Cryo</v>
      </c>
      <c r="M177" s="217" t="str">
        <f>'4. Constituent Tolerances'!M22</f>
        <v>P</v>
      </c>
      <c r="N177" s="216" t="str">
        <f>'4. Constituent Tolerances'!N22</f>
        <v>Spread/variability of K-C balls wrt best-fit interface plane</v>
      </c>
      <c r="P177" s="92" t="s">
        <v>225</v>
      </c>
      <c r="R177" s="186" t="s">
        <v>358</v>
      </c>
    </row>
    <row r="178" spans="1:18" ht="30" outlineLevel="1" x14ac:dyDescent="0.25">
      <c r="B178" s="216" t="str">
        <f>'4. Constituent Tolerances'!B23</f>
        <v>Grid K-C ball best-fit plane</v>
      </c>
      <c r="C178" s="216" t="str">
        <f>'4. Constituent Tolerances'!C23</f>
        <v>Metrology precision and best-fit plane definition error of K-C ball plane</v>
      </c>
      <c r="D178" s="216">
        <f>'4. Constituent Tolerances'!D23</f>
        <v>0.6</v>
      </c>
      <c r="E178" s="216">
        <f>'4. Constituent Tolerances'!E23</f>
        <v>800</v>
      </c>
      <c r="F178" s="216">
        <f>'4. Constituent Tolerances'!F23</f>
        <v>938</v>
      </c>
      <c r="G178" s="216">
        <f>'4. Constituent Tolerances'!G23</f>
        <v>7.5000000000000002E-4</v>
      </c>
      <c r="H178" s="216">
        <f>'4. Constituent Tolerances'!H23</f>
        <v>0.3</v>
      </c>
      <c r="I178" s="216">
        <f>'4. Constituent Tolerances'!I23</f>
        <v>0</v>
      </c>
      <c r="J178" s="148">
        <f>'4. Constituent Tolerances'!J23</f>
        <v>0.3</v>
      </c>
      <c r="K178" s="148">
        <f>'4. Constituent Tolerances'!K23</f>
        <v>0</v>
      </c>
      <c r="L178" s="216" t="str">
        <f>'4. Constituent Tolerances'!L23</f>
        <v>Cryo</v>
      </c>
      <c r="M178" s="217" t="str">
        <f>'4. Constituent Tolerances'!M23</f>
        <v>M</v>
      </c>
      <c r="N178" s="216" t="str">
        <f>'4. Constituent Tolerances'!N23</f>
        <v>Measurement precision of metrology system and imprecision of best-fit plane definition</v>
      </c>
      <c r="P178" s="4"/>
      <c r="R178" s="186" t="s">
        <v>358</v>
      </c>
    </row>
    <row r="179" spans="1:18" ht="30" outlineLevel="1" x14ac:dyDescent="0.25">
      <c r="B179" s="216" t="str">
        <f>'4. Constituent Tolerances'!B25</f>
        <v>Grid K-C ball best-fit plane</v>
      </c>
      <c r="C179" s="216" t="str">
        <f>'4. Constituent Tolerances'!C25</f>
        <v>RSA mounting repeatability on K-C balls</v>
      </c>
      <c r="D179" s="216">
        <f>'4. Constituent Tolerances'!D25</f>
        <v>0</v>
      </c>
      <c r="E179" s="216">
        <f>'4. Constituent Tolerances'!E25</f>
        <v>0</v>
      </c>
      <c r="F179" s="216">
        <f>'4. Constituent Tolerances'!F25</f>
        <v>0</v>
      </c>
      <c r="G179" s="216">
        <f>'4. Constituent Tolerances'!G25</f>
        <v>0</v>
      </c>
      <c r="H179" s="216">
        <f>'4. Constituent Tolerances'!H25</f>
        <v>2</v>
      </c>
      <c r="I179" s="216">
        <f>'4. Constituent Tolerances'!I25</f>
        <v>2</v>
      </c>
      <c r="J179" s="148">
        <f>'4. Constituent Tolerances'!J25</f>
        <v>2</v>
      </c>
      <c r="K179" s="148">
        <f>'4. Constituent Tolerances'!K25</f>
        <v>2</v>
      </c>
      <c r="L179" s="216" t="str">
        <f>'4. Constituent Tolerances'!L25</f>
        <v>I&amp;T</v>
      </c>
      <c r="M179" s="217" t="str">
        <f>'4. Constituent Tolerances'!M25</f>
        <v>P</v>
      </c>
      <c r="N179" s="216" t="str">
        <f>'4. Constituent Tolerances'!N25</f>
        <v>Placement error of RSA due to friction and surface finish causing sticking of vee-blocks on balls</v>
      </c>
      <c r="P179" s="92" t="s">
        <v>225</v>
      </c>
      <c r="R179" s="186" t="s">
        <v>358</v>
      </c>
    </row>
    <row r="180" spans="1:18" ht="30" outlineLevel="1" x14ac:dyDescent="0.25">
      <c r="A180" s="189">
        <v>42401</v>
      </c>
      <c r="B180" s="216" t="str">
        <f>'4. Constituent Tolerances'!B27</f>
        <v>Detector plane best-fit plane</v>
      </c>
      <c r="C180" s="216" t="str">
        <f>'4. Constituent Tolerances'!C27</f>
        <v>Metrology precision and best-fit plane definition error of detector plane</v>
      </c>
      <c r="D180" s="216">
        <f>'4. Constituent Tolerances'!D27</f>
        <v>0</v>
      </c>
      <c r="E180" s="216">
        <f>'4. Constituent Tolerances'!E27</f>
        <v>0</v>
      </c>
      <c r="F180" s="216">
        <f>'4. Constituent Tolerances'!F27</f>
        <v>0</v>
      </c>
      <c r="G180" s="216">
        <f>'4. Constituent Tolerances'!G27</f>
        <v>0</v>
      </c>
      <c r="H180" s="216">
        <f>'4. Constituent Tolerances'!H27</f>
        <v>1</v>
      </c>
      <c r="I180" s="216">
        <f>'4. Constituent Tolerances'!I27</f>
        <v>0</v>
      </c>
      <c r="J180" s="148">
        <f>'4. Constituent Tolerances'!J27</f>
        <v>1</v>
      </c>
      <c r="K180" s="148">
        <f>'4. Constituent Tolerances'!K27</f>
        <v>0</v>
      </c>
      <c r="L180" s="216" t="str">
        <f>'4. Constituent Tolerances'!L27</f>
        <v>I&amp;T</v>
      </c>
      <c r="M180" s="217">
        <f>'4. Constituent Tolerances'!M27</f>
        <v>0</v>
      </c>
      <c r="N180" s="216" t="str">
        <f>'4. Constituent Tolerances'!N27</f>
        <v>Measurement precision of detector metrology system and imprecision of best-fit plane definition</v>
      </c>
      <c r="P180" s="92" t="s">
        <v>225</v>
      </c>
      <c r="R180" s="186" t="s">
        <v>358</v>
      </c>
    </row>
    <row r="181" spans="1:18" ht="30" outlineLevel="1" x14ac:dyDescent="0.25">
      <c r="B181" s="216" t="str">
        <f>'4. Constituent Tolerances'!B38</f>
        <v>Guide sensors</v>
      </c>
      <c r="C181" s="216" t="str">
        <f>'4. Constituent Tolerances'!C38</f>
        <v>Corner raft plate K-C V-groove mount</v>
      </c>
      <c r="D181" s="216">
        <f>'4. Constituent Tolerances'!D38</f>
        <v>50</v>
      </c>
      <c r="E181" s="216">
        <f>'4. Constituent Tolerances'!E38</f>
        <v>0</v>
      </c>
      <c r="F181" s="216">
        <f>'4. Constituent Tolerances'!F38</f>
        <v>0</v>
      </c>
      <c r="G181" s="216">
        <f>'4. Constituent Tolerances'!G38</f>
        <v>0</v>
      </c>
      <c r="H181" s="216">
        <f>'4. Constituent Tolerances'!H38</f>
        <v>25</v>
      </c>
      <c r="I181" s="216">
        <f>'4. Constituent Tolerances'!I38</f>
        <v>0</v>
      </c>
      <c r="J181" s="148">
        <f>'4. Constituent Tolerances'!J38</f>
        <v>25</v>
      </c>
      <c r="K181" s="148">
        <f>'4. Constituent Tolerances'!K38</f>
        <v>0</v>
      </c>
      <c r="L181" s="216" t="str">
        <f>'4. Constituent Tolerances'!L38</f>
        <v>CRft</v>
      </c>
      <c r="M181" s="217" t="str">
        <f>'4. Constituent Tolerances'!M38</f>
        <v>P</v>
      </c>
      <c r="N181" s="216" t="str">
        <f>'4. Constituent Tolerances'!N38</f>
        <v>Tolerance on positioning Guide sensor with respect to the raft V-grooves, either by dead-reckoning or shimming</v>
      </c>
      <c r="P181" s="92"/>
      <c r="R181" s="186" t="s">
        <v>358</v>
      </c>
    </row>
    <row r="182" spans="1:18" s="104" customFormat="1" ht="30" x14ac:dyDescent="0.25">
      <c r="A182" s="91"/>
      <c r="B182" s="92"/>
      <c r="C182" s="116" t="s">
        <v>84</v>
      </c>
      <c r="D182" s="117"/>
      <c r="E182" s="117"/>
      <c r="F182" s="118" t="s">
        <v>58</v>
      </c>
      <c r="G182" s="119">
        <f>SQRT(SUMSQ(G177:G181))</f>
        <v>7.5000000000000002E-4</v>
      </c>
      <c r="H182" s="118">
        <f>SQRT(SUMSQ(H177:H181))</f>
        <v>25.418300493935469</v>
      </c>
      <c r="I182" s="120">
        <f>SQRT(SUMSQ(I177:I181))</f>
        <v>2</v>
      </c>
      <c r="J182" s="118">
        <f>SQRT(SUMSQ(J177:J181))</f>
        <v>25.418300493935469</v>
      </c>
      <c r="K182" s="120">
        <f>SQRT(SUMSQ(K177:K181))</f>
        <v>2</v>
      </c>
      <c r="L182" s="91"/>
      <c r="M182" s="91"/>
      <c r="N182" s="92" t="s">
        <v>307</v>
      </c>
      <c r="P182" s="92" t="s">
        <v>338</v>
      </c>
      <c r="Q182" s="92"/>
      <c r="R182" s="186" t="s">
        <v>358</v>
      </c>
    </row>
    <row r="183" spans="1:18" s="104" customFormat="1" x14ac:dyDescent="0.25">
      <c r="A183" s="91"/>
      <c r="B183" s="92"/>
      <c r="C183" s="121"/>
      <c r="D183" s="122"/>
      <c r="E183" s="122"/>
      <c r="F183" s="123" t="s">
        <v>59</v>
      </c>
      <c r="G183" s="124">
        <f>SUM(G177:G181)</f>
        <v>7.5000000000000002E-4</v>
      </c>
      <c r="H183" s="123">
        <f>SUM(H177:H181)</f>
        <v>32.299999999999997</v>
      </c>
      <c r="I183" s="125">
        <f>SUM(I177:I181)</f>
        <v>2</v>
      </c>
      <c r="J183" s="123">
        <f>SUM(J177:J181)</f>
        <v>32.299999999999997</v>
      </c>
      <c r="K183" s="125">
        <f>SUM(K177:K181)</f>
        <v>2</v>
      </c>
      <c r="L183" s="91"/>
      <c r="M183" s="91"/>
      <c r="N183" s="92"/>
      <c r="P183" s="92"/>
      <c r="Q183" s="92"/>
      <c r="R183"/>
    </row>
  </sheetData>
  <pageMargins left="0.25" right="0.25" top="0.5" bottom="0.5" header="0.3" footer="0.25"/>
  <pageSetup paperSize="17" scale="95" fitToWidth="0" fitToHeight="0" orientation="landscape" r:id="rId1"/>
  <headerFooter>
    <oddFooter>&amp;L&amp;F&amp;C&amp;A&amp;RPage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2:S70"/>
  <sheetViews>
    <sheetView showGridLines="0" zoomScale="90" zoomScaleNormal="90" zoomScalePageLayoutView="40" workbookViewId="0">
      <pane xSplit="3" ySplit="6" topLeftCell="D7" activePane="bottomRight" state="frozen"/>
      <selection pane="topRight" activeCell="D1" sqref="D1"/>
      <selection pane="bottomLeft" activeCell="A7" sqref="A7"/>
      <selection pane="bottomRight" activeCell="J9" sqref="J9"/>
    </sheetView>
  </sheetViews>
  <sheetFormatPr defaultRowHeight="15" x14ac:dyDescent="0.25"/>
  <cols>
    <col min="1" max="1" width="11.85546875" style="8" customWidth="1"/>
    <col min="2" max="3" width="41.85546875" customWidth="1"/>
    <col min="4" max="4" width="11.7109375" bestFit="1" customWidth="1"/>
    <col min="5" max="5" width="9.28515625" bestFit="1" customWidth="1"/>
    <col min="6" max="6" width="11.42578125" customWidth="1"/>
    <col min="7" max="7" width="7.85546875" bestFit="1" customWidth="1"/>
    <col min="8" max="8" width="9.42578125" bestFit="1" customWidth="1"/>
    <col min="9" max="9" width="9.140625" bestFit="1" customWidth="1"/>
    <col min="10" max="11" width="10.5703125" customWidth="1"/>
    <col min="12" max="12" width="5.85546875" bestFit="1" customWidth="1"/>
    <col min="13" max="13" width="5.85546875" customWidth="1"/>
    <col min="14" max="14" width="60" customWidth="1"/>
    <col min="15" max="15" width="1.42578125" customWidth="1"/>
    <col min="16" max="16" width="70.140625" customWidth="1"/>
    <col min="17" max="17" width="1.5703125" customWidth="1"/>
    <col min="18" max="18" width="32.42578125" style="4" customWidth="1"/>
    <col min="19" max="19" width="40.28515625" customWidth="1"/>
    <col min="20" max="21" width="9.140625" customWidth="1"/>
  </cols>
  <sheetData>
    <row r="2" spans="1:19" ht="18.75" x14ac:dyDescent="0.3">
      <c r="B2" s="80" t="s">
        <v>224</v>
      </c>
      <c r="C2" s="81"/>
      <c r="D2" s="81"/>
      <c r="E2" s="82" t="str">
        <f>'1.  Intro, Defs, Change Log'!D3</f>
        <v>LCA-10147-G</v>
      </c>
      <c r="F2" s="83"/>
      <c r="G2" s="81"/>
      <c r="H2" s="81"/>
      <c r="I2" s="81"/>
      <c r="J2" s="81"/>
      <c r="K2" s="81"/>
      <c r="L2" s="84"/>
      <c r="M2" s="84" t="s">
        <v>434</v>
      </c>
      <c r="N2" s="85">
        <f>MAX('1.  Intro, Defs, Change Log'!$B:$B:'1.  Intro, Defs, Change Log'!$B:$B)</f>
        <v>43249</v>
      </c>
    </row>
    <row r="3" spans="1:19" x14ac:dyDescent="0.25">
      <c r="B3" s="86"/>
      <c r="C3" s="87"/>
      <c r="D3" s="87"/>
      <c r="E3" s="87"/>
      <c r="F3" s="87"/>
      <c r="G3" s="87"/>
      <c r="H3" s="87"/>
      <c r="I3" s="87"/>
      <c r="J3" s="87"/>
      <c r="K3" s="87"/>
      <c r="L3" s="88"/>
      <c r="M3" s="88" t="s">
        <v>15</v>
      </c>
      <c r="N3" s="89">
        <f ca="1">NOW()</f>
        <v>43249.318045486114</v>
      </c>
    </row>
    <row r="4" spans="1:19" ht="8.25" customHeight="1" x14ac:dyDescent="0.25">
      <c r="B4" s="7"/>
    </row>
    <row r="5" spans="1:19" x14ac:dyDescent="0.25">
      <c r="B5" s="7"/>
      <c r="H5" s="348" t="s">
        <v>497</v>
      </c>
      <c r="I5" s="349"/>
      <c r="J5" s="350" t="s">
        <v>498</v>
      </c>
      <c r="K5" s="351"/>
    </row>
    <row r="6" spans="1:19" ht="45" x14ac:dyDescent="0.25">
      <c r="A6" s="166" t="s">
        <v>136</v>
      </c>
      <c r="B6" s="90" t="s">
        <v>4</v>
      </c>
      <c r="C6" s="90" t="s">
        <v>5</v>
      </c>
      <c r="D6" s="114" t="s">
        <v>10</v>
      </c>
      <c r="E6" s="115" t="s">
        <v>0</v>
      </c>
      <c r="F6" s="115" t="s">
        <v>33</v>
      </c>
      <c r="G6" s="114" t="s">
        <v>1</v>
      </c>
      <c r="H6" s="329" t="s">
        <v>57</v>
      </c>
      <c r="I6" s="329" t="s">
        <v>56</v>
      </c>
      <c r="J6" s="352" t="s">
        <v>57</v>
      </c>
      <c r="K6" s="352" t="s">
        <v>56</v>
      </c>
      <c r="L6" s="114" t="s">
        <v>22</v>
      </c>
      <c r="M6" s="114" t="s">
        <v>85</v>
      </c>
      <c r="N6" s="114" t="s">
        <v>23</v>
      </c>
      <c r="P6" s="152" t="s">
        <v>101</v>
      </c>
      <c r="R6" s="183" t="s">
        <v>183</v>
      </c>
      <c r="S6" s="238" t="s">
        <v>399</v>
      </c>
    </row>
    <row r="7" spans="1:19" x14ac:dyDescent="0.25">
      <c r="B7" s="11" t="s">
        <v>2</v>
      </c>
      <c r="C7" s="12"/>
      <c r="D7" s="13"/>
      <c r="E7" s="13"/>
      <c r="F7" s="13"/>
      <c r="G7" s="13"/>
      <c r="H7" s="13"/>
      <c r="I7" s="13"/>
      <c r="J7" s="13"/>
      <c r="K7" s="13"/>
      <c r="L7" s="12"/>
      <c r="M7" s="12"/>
      <c r="N7" s="14"/>
      <c r="P7" s="4"/>
    </row>
    <row r="8" spans="1:19" s="186" customFormat="1" x14ac:dyDescent="0.25">
      <c r="A8" s="169"/>
      <c r="B8" s="196" t="s">
        <v>16</v>
      </c>
      <c r="C8" s="196"/>
      <c r="D8" s="197">
        <v>80</v>
      </c>
      <c r="E8" s="197">
        <v>1600</v>
      </c>
      <c r="F8" s="197">
        <v>0</v>
      </c>
      <c r="G8" s="198">
        <v>0</v>
      </c>
      <c r="H8" s="197">
        <f>D8/2</f>
        <v>40</v>
      </c>
      <c r="I8" s="197">
        <v>0</v>
      </c>
      <c r="J8" s="197">
        <v>40</v>
      </c>
      <c r="K8" s="197">
        <v>0</v>
      </c>
      <c r="L8" s="199" t="s">
        <v>7</v>
      </c>
      <c r="M8" s="199" t="s">
        <v>86</v>
      </c>
      <c r="N8" s="196" t="s">
        <v>18</v>
      </c>
      <c r="P8" s="187"/>
      <c r="R8" s="187"/>
    </row>
    <row r="9" spans="1:19" s="186" customFormat="1" ht="30" x14ac:dyDescent="0.25">
      <c r="A9" s="200">
        <v>41577</v>
      </c>
      <c r="B9" s="201" t="s">
        <v>88</v>
      </c>
      <c r="C9" s="201" t="s">
        <v>66</v>
      </c>
      <c r="D9" s="167">
        <v>20</v>
      </c>
      <c r="E9" s="167">
        <v>950</v>
      </c>
      <c r="F9" s="167">
        <v>0</v>
      </c>
      <c r="G9" s="168">
        <f>D9/E9</f>
        <v>2.1052631578947368E-2</v>
      </c>
      <c r="H9" s="167">
        <f>D9/2</f>
        <v>10</v>
      </c>
      <c r="I9" s="167">
        <v>10</v>
      </c>
      <c r="J9" s="167">
        <v>10</v>
      </c>
      <c r="K9" s="167">
        <v>10</v>
      </c>
      <c r="L9" s="151" t="s">
        <v>7</v>
      </c>
      <c r="M9" s="151" t="s">
        <v>87</v>
      </c>
      <c r="N9" s="148" t="s">
        <v>20</v>
      </c>
      <c r="P9" s="187"/>
      <c r="R9" s="187"/>
    </row>
    <row r="10" spans="1:19" s="186" customFormat="1" ht="96.75" customHeight="1" x14ac:dyDescent="0.25">
      <c r="A10" s="169"/>
      <c r="B10" s="234" t="s">
        <v>88</v>
      </c>
      <c r="C10" s="234" t="s">
        <v>17</v>
      </c>
      <c r="D10" s="149">
        <v>80</v>
      </c>
      <c r="E10" s="149">
        <v>1120</v>
      </c>
      <c r="F10" s="149">
        <v>28</v>
      </c>
      <c r="G10" s="150">
        <f>D10/E10</f>
        <v>7.1428571428571425E-2</v>
      </c>
      <c r="H10" s="149">
        <f>D10/2</f>
        <v>40</v>
      </c>
      <c r="I10" s="235">
        <v>125</v>
      </c>
      <c r="J10" s="149">
        <v>40</v>
      </c>
      <c r="K10" s="149">
        <v>125</v>
      </c>
      <c r="L10" s="151" t="s">
        <v>7</v>
      </c>
      <c r="M10" s="151" t="s">
        <v>86</v>
      </c>
      <c r="N10" s="148" t="s">
        <v>67</v>
      </c>
      <c r="P10" s="236" t="s">
        <v>354</v>
      </c>
      <c r="R10" s="236" t="s">
        <v>339</v>
      </c>
      <c r="S10" s="241" t="s">
        <v>357</v>
      </c>
    </row>
    <row r="11" spans="1:19" s="186" customFormat="1" ht="60" x14ac:dyDescent="0.25">
      <c r="A11" s="169"/>
      <c r="B11" s="234" t="s">
        <v>17</v>
      </c>
      <c r="C11" s="234" t="s">
        <v>12</v>
      </c>
      <c r="D11" s="149">
        <v>0</v>
      </c>
      <c r="E11" s="149">
        <v>1120</v>
      </c>
      <c r="F11" s="149">
        <v>28</v>
      </c>
      <c r="G11" s="150"/>
      <c r="H11" s="149"/>
      <c r="I11" s="235">
        <v>60</v>
      </c>
      <c r="J11" s="149"/>
      <c r="K11" s="149">
        <v>60</v>
      </c>
      <c r="L11" s="151" t="s">
        <v>11</v>
      </c>
      <c r="M11" s="151" t="s">
        <v>86</v>
      </c>
      <c r="N11" s="148" t="s">
        <v>89</v>
      </c>
      <c r="P11" s="187"/>
      <c r="R11" s="236" t="s">
        <v>340</v>
      </c>
      <c r="S11" s="241" t="s">
        <v>357</v>
      </c>
    </row>
    <row r="12" spans="1:19" s="186" customFormat="1" x14ac:dyDescent="0.25">
      <c r="A12" s="169"/>
      <c r="B12" s="148" t="s">
        <v>6</v>
      </c>
      <c r="C12" s="148"/>
      <c r="D12" s="149">
        <v>50</v>
      </c>
      <c r="E12" s="149">
        <v>1120</v>
      </c>
      <c r="F12" s="149">
        <v>28</v>
      </c>
      <c r="G12" s="150">
        <f>D12/E12</f>
        <v>4.4642857142857144E-2</v>
      </c>
      <c r="H12" s="149">
        <f>D12/2</f>
        <v>25</v>
      </c>
      <c r="I12" s="149">
        <v>0</v>
      </c>
      <c r="J12" s="149">
        <v>25</v>
      </c>
      <c r="K12" s="149">
        <v>0</v>
      </c>
      <c r="L12" s="151" t="s">
        <v>8</v>
      </c>
      <c r="M12" s="151" t="s">
        <v>86</v>
      </c>
      <c r="N12" s="148" t="s">
        <v>18</v>
      </c>
      <c r="P12" s="187"/>
      <c r="R12" s="187"/>
    </row>
    <row r="13" spans="1:19" s="186" customFormat="1" ht="30" x14ac:dyDescent="0.25">
      <c r="A13" s="169"/>
      <c r="B13" s="148" t="s">
        <v>90</v>
      </c>
      <c r="C13" s="148" t="s">
        <v>91</v>
      </c>
      <c r="D13" s="149">
        <v>80</v>
      </c>
      <c r="E13" s="149">
        <v>950</v>
      </c>
      <c r="F13" s="149">
        <f>F12+910</f>
        <v>938</v>
      </c>
      <c r="G13" s="150">
        <f>D13/E13</f>
        <v>8.4210526315789472E-2</v>
      </c>
      <c r="H13" s="149">
        <f>D13/2</f>
        <v>40</v>
      </c>
      <c r="I13" s="149">
        <v>100</v>
      </c>
      <c r="J13" s="149">
        <v>40</v>
      </c>
      <c r="K13" s="149">
        <v>100</v>
      </c>
      <c r="L13" s="151" t="s">
        <v>8</v>
      </c>
      <c r="M13" s="151" t="s">
        <v>86</v>
      </c>
      <c r="N13" s="148" t="s">
        <v>19</v>
      </c>
      <c r="P13" s="187"/>
      <c r="R13" s="187"/>
    </row>
    <row r="14" spans="1:19" s="186" customFormat="1" ht="30" x14ac:dyDescent="0.25">
      <c r="A14" s="200">
        <v>41577</v>
      </c>
      <c r="B14" s="148" t="s">
        <v>90</v>
      </c>
      <c r="C14" s="148" t="s">
        <v>13</v>
      </c>
      <c r="D14" s="149">
        <v>20</v>
      </c>
      <c r="E14" s="149">
        <v>950</v>
      </c>
      <c r="F14" s="149">
        <f>F13</f>
        <v>938</v>
      </c>
      <c r="G14" s="150">
        <f>D14/E14</f>
        <v>2.1052631578947368E-2</v>
      </c>
      <c r="H14" s="149">
        <f>D14/2</f>
        <v>10</v>
      </c>
      <c r="I14" s="149">
        <v>10</v>
      </c>
      <c r="J14" s="149">
        <v>10</v>
      </c>
      <c r="K14" s="149">
        <v>10</v>
      </c>
      <c r="L14" s="151" t="s">
        <v>8</v>
      </c>
      <c r="M14" s="151" t="s">
        <v>87</v>
      </c>
      <c r="N14" s="148" t="s">
        <v>92</v>
      </c>
      <c r="P14" s="187"/>
      <c r="R14" s="187"/>
    </row>
    <row r="15" spans="1:19" s="186" customFormat="1" ht="30" x14ac:dyDescent="0.25">
      <c r="A15" s="200">
        <v>41577</v>
      </c>
      <c r="B15" s="148" t="s">
        <v>90</v>
      </c>
      <c r="C15" s="148" t="s">
        <v>68</v>
      </c>
      <c r="D15" s="149">
        <v>20</v>
      </c>
      <c r="E15" s="149">
        <v>950</v>
      </c>
      <c r="F15" s="149">
        <f>F13</f>
        <v>938</v>
      </c>
      <c r="G15" s="150">
        <f>D15/E15</f>
        <v>2.1052631578947368E-2</v>
      </c>
      <c r="H15" s="149">
        <f>D15/2</f>
        <v>10</v>
      </c>
      <c r="I15" s="149">
        <v>10</v>
      </c>
      <c r="J15" s="149">
        <v>10</v>
      </c>
      <c r="K15" s="149">
        <v>10</v>
      </c>
      <c r="L15" s="151" t="s">
        <v>8</v>
      </c>
      <c r="M15" s="151" t="s">
        <v>87</v>
      </c>
      <c r="N15" s="148" t="s">
        <v>70</v>
      </c>
      <c r="P15" s="187"/>
      <c r="R15" s="187"/>
    </row>
    <row r="16" spans="1:19" x14ac:dyDescent="0.25">
      <c r="B16" s="4"/>
      <c r="C16" s="4"/>
      <c r="D16" s="5"/>
      <c r="E16" s="5"/>
      <c r="F16" s="5"/>
      <c r="G16" s="6"/>
      <c r="H16" s="5"/>
      <c r="I16" s="5"/>
      <c r="J16" s="5"/>
      <c r="K16" s="5"/>
      <c r="L16" s="8"/>
      <c r="M16" s="8"/>
      <c r="N16" s="4"/>
      <c r="P16" s="4"/>
    </row>
    <row r="17" spans="1:19" x14ac:dyDescent="0.25">
      <c r="B17" s="36" t="s">
        <v>24</v>
      </c>
      <c r="C17" s="37"/>
      <c r="D17" s="25"/>
      <c r="E17" s="25"/>
      <c r="F17" s="25"/>
      <c r="G17" s="25"/>
      <c r="H17" s="25"/>
      <c r="I17" s="25"/>
      <c r="J17" s="25"/>
      <c r="K17" s="25"/>
      <c r="L17" s="24"/>
      <c r="M17" s="24"/>
      <c r="N17" s="26"/>
      <c r="P17" s="4"/>
    </row>
    <row r="18" spans="1:19" s="186" customFormat="1" ht="285.75" customHeight="1" x14ac:dyDescent="0.25">
      <c r="A18" s="169"/>
      <c r="B18" s="234" t="s">
        <v>88</v>
      </c>
      <c r="C18" s="234" t="s">
        <v>94</v>
      </c>
      <c r="D18" s="149">
        <v>100</v>
      </c>
      <c r="E18" s="149">
        <v>1600</v>
      </c>
      <c r="F18" s="149">
        <v>979</v>
      </c>
      <c r="G18" s="150">
        <f>D18/E18</f>
        <v>6.25E-2</v>
      </c>
      <c r="H18" s="235">
        <v>150</v>
      </c>
      <c r="I18" s="235">
        <v>250</v>
      </c>
      <c r="J18" s="149">
        <v>150</v>
      </c>
      <c r="K18" s="149">
        <v>250</v>
      </c>
      <c r="L18" s="151" t="s">
        <v>7</v>
      </c>
      <c r="M18" s="151" t="s">
        <v>86</v>
      </c>
      <c r="N18" s="148" t="s">
        <v>341</v>
      </c>
      <c r="P18" s="236" t="s">
        <v>355</v>
      </c>
      <c r="R18" s="237" t="s">
        <v>342</v>
      </c>
      <c r="S18" s="241" t="s">
        <v>357</v>
      </c>
    </row>
    <row r="19" spans="1:19" x14ac:dyDescent="0.25">
      <c r="B19" s="4"/>
      <c r="C19" s="4"/>
      <c r="D19" s="5"/>
      <c r="E19" s="5"/>
      <c r="F19" s="5"/>
      <c r="G19" s="6"/>
      <c r="H19" s="5"/>
      <c r="I19" s="5"/>
      <c r="J19" s="5"/>
      <c r="K19" s="5"/>
      <c r="L19" s="8"/>
      <c r="M19" s="8"/>
      <c r="N19" s="4"/>
      <c r="P19" s="4"/>
    </row>
    <row r="20" spans="1:19" x14ac:dyDescent="0.25">
      <c r="B20" s="16" t="s">
        <v>258</v>
      </c>
      <c r="C20" s="17"/>
      <c r="D20" s="18"/>
      <c r="E20" s="18"/>
      <c r="F20" s="18"/>
      <c r="G20" s="18"/>
      <c r="H20" s="18"/>
      <c r="I20" s="18"/>
      <c r="J20" s="18"/>
      <c r="K20" s="18"/>
      <c r="L20" s="17"/>
      <c r="M20" s="17"/>
      <c r="N20" s="19"/>
      <c r="P20" s="4"/>
    </row>
    <row r="21" spans="1:19" s="186" customFormat="1" ht="125.25" customHeight="1" x14ac:dyDescent="0.25">
      <c r="A21" s="200">
        <v>41577</v>
      </c>
      <c r="B21" s="148" t="s">
        <v>144</v>
      </c>
      <c r="C21" s="148" t="s">
        <v>91</v>
      </c>
      <c r="D21" s="149">
        <v>50</v>
      </c>
      <c r="E21" s="149">
        <v>800</v>
      </c>
      <c r="F21" s="149">
        <f>F13</f>
        <v>938</v>
      </c>
      <c r="G21" s="150">
        <f>D21/E21</f>
        <v>6.25E-2</v>
      </c>
      <c r="H21" s="149">
        <f>D21/2</f>
        <v>25</v>
      </c>
      <c r="I21" s="149">
        <v>400</v>
      </c>
      <c r="J21" s="149">
        <v>25</v>
      </c>
      <c r="K21" s="149">
        <v>400</v>
      </c>
      <c r="L21" s="151" t="s">
        <v>8</v>
      </c>
      <c r="M21" s="151" t="s">
        <v>86</v>
      </c>
      <c r="N21" s="148" t="s">
        <v>145</v>
      </c>
      <c r="P21" s="279"/>
      <c r="R21" s="187"/>
    </row>
    <row r="22" spans="1:19" s="186" customFormat="1" ht="75" x14ac:dyDescent="0.25">
      <c r="A22" s="200">
        <v>42145</v>
      </c>
      <c r="B22" s="201" t="s">
        <v>77</v>
      </c>
      <c r="C22" s="201" t="s">
        <v>78</v>
      </c>
      <c r="D22" s="167"/>
      <c r="E22" s="149">
        <v>800</v>
      </c>
      <c r="F22" s="149">
        <f>F13</f>
        <v>938</v>
      </c>
      <c r="G22" s="150"/>
      <c r="H22" s="149">
        <v>4</v>
      </c>
      <c r="I22" s="167"/>
      <c r="J22" s="149">
        <v>4</v>
      </c>
      <c r="K22" s="167"/>
      <c r="L22" s="151" t="s">
        <v>8</v>
      </c>
      <c r="M22" s="151" t="s">
        <v>86</v>
      </c>
      <c r="N22" s="148" t="s">
        <v>79</v>
      </c>
      <c r="P22" s="215" t="s">
        <v>406</v>
      </c>
      <c r="R22" s="187"/>
      <c r="S22" s="215" t="s">
        <v>410</v>
      </c>
    </row>
    <row r="23" spans="1:19" s="186" customFormat="1" ht="30" x14ac:dyDescent="0.25">
      <c r="A23" s="169"/>
      <c r="B23" s="201" t="s">
        <v>77</v>
      </c>
      <c r="C23" s="201" t="s">
        <v>263</v>
      </c>
      <c r="D23" s="202">
        <v>0.6</v>
      </c>
      <c r="E23" s="167">
        <v>800</v>
      </c>
      <c r="F23" s="167">
        <f>F13</f>
        <v>938</v>
      </c>
      <c r="G23" s="168">
        <f>D23/E23</f>
        <v>7.5000000000000002E-4</v>
      </c>
      <c r="H23" s="202">
        <f>D23/2</f>
        <v>0.3</v>
      </c>
      <c r="I23" s="167"/>
      <c r="J23" s="202">
        <v>0.3</v>
      </c>
      <c r="K23" s="167"/>
      <c r="L23" s="151" t="s">
        <v>8</v>
      </c>
      <c r="M23" s="151" t="s">
        <v>87</v>
      </c>
      <c r="N23" s="148" t="s">
        <v>21</v>
      </c>
      <c r="P23" s="187"/>
      <c r="R23" s="187"/>
    </row>
    <row r="24" spans="1:19" s="186" customFormat="1" ht="60" x14ac:dyDescent="0.25">
      <c r="A24" s="169"/>
      <c r="B24" s="148" t="s">
        <v>77</v>
      </c>
      <c r="C24" s="234" t="s">
        <v>477</v>
      </c>
      <c r="D24" s="149">
        <v>20</v>
      </c>
      <c r="E24" s="149">
        <v>800</v>
      </c>
      <c r="F24" s="149">
        <f>F13</f>
        <v>938</v>
      </c>
      <c r="G24" s="150">
        <f>D24/E24</f>
        <v>2.5000000000000001E-2</v>
      </c>
      <c r="H24" s="149">
        <f>D24/2</f>
        <v>10</v>
      </c>
      <c r="I24" s="149">
        <v>100</v>
      </c>
      <c r="J24" s="149">
        <v>10</v>
      </c>
      <c r="K24" s="149">
        <v>100</v>
      </c>
      <c r="L24" s="151" t="s">
        <v>8</v>
      </c>
      <c r="M24" s="151" t="s">
        <v>87</v>
      </c>
      <c r="N24" s="234" t="s">
        <v>479</v>
      </c>
      <c r="P24" s="187"/>
      <c r="R24" s="187"/>
      <c r="S24" s="236" t="s">
        <v>478</v>
      </c>
    </row>
    <row r="25" spans="1:19" s="186" customFormat="1" ht="30" x14ac:dyDescent="0.25">
      <c r="A25" s="169"/>
      <c r="B25" s="148" t="s">
        <v>77</v>
      </c>
      <c r="C25" s="148" t="s">
        <v>259</v>
      </c>
      <c r="D25" s="149"/>
      <c r="E25" s="149"/>
      <c r="F25" s="149"/>
      <c r="G25" s="150"/>
      <c r="H25" s="149">
        <v>2</v>
      </c>
      <c r="I25" s="149">
        <v>2</v>
      </c>
      <c r="J25" s="149">
        <v>2</v>
      </c>
      <c r="K25" s="149">
        <v>2</v>
      </c>
      <c r="L25" s="151" t="s">
        <v>11</v>
      </c>
      <c r="M25" s="151" t="s">
        <v>86</v>
      </c>
      <c r="N25" s="148" t="s">
        <v>260</v>
      </c>
      <c r="P25" s="187"/>
      <c r="R25" s="187"/>
    </row>
    <row r="26" spans="1:19" s="186" customFormat="1" ht="60" x14ac:dyDescent="0.25">
      <c r="A26" s="192"/>
      <c r="B26" s="234" t="s">
        <v>77</v>
      </c>
      <c r="C26" s="234" t="s">
        <v>491</v>
      </c>
      <c r="D26" s="235"/>
      <c r="E26" s="235">
        <v>800</v>
      </c>
      <c r="F26" s="235">
        <v>938</v>
      </c>
      <c r="G26" s="339"/>
      <c r="H26" s="235">
        <v>20</v>
      </c>
      <c r="I26" s="235"/>
      <c r="J26" s="149">
        <v>20</v>
      </c>
      <c r="K26" s="149"/>
      <c r="L26" s="345" t="s">
        <v>8</v>
      </c>
      <c r="M26" s="345" t="s">
        <v>87</v>
      </c>
      <c r="N26" s="234" t="s">
        <v>492</v>
      </c>
      <c r="P26" s="236" t="s">
        <v>494</v>
      </c>
      <c r="R26" s="187"/>
      <c r="S26" s="240" t="s">
        <v>490</v>
      </c>
    </row>
    <row r="27" spans="1:19" s="186" customFormat="1" ht="30" x14ac:dyDescent="0.25">
      <c r="A27" s="189">
        <v>42401</v>
      </c>
      <c r="B27" s="148" t="s">
        <v>261</v>
      </c>
      <c r="C27" s="148" t="s">
        <v>262</v>
      </c>
      <c r="D27" s="149"/>
      <c r="E27" s="149"/>
      <c r="F27" s="149"/>
      <c r="G27" s="150"/>
      <c r="H27" s="204">
        <v>1</v>
      </c>
      <c r="I27" s="149"/>
      <c r="J27" s="204">
        <v>1</v>
      </c>
      <c r="K27" s="149"/>
      <c r="L27" s="151" t="s">
        <v>11</v>
      </c>
      <c r="M27" s="151"/>
      <c r="N27" s="148" t="s">
        <v>264</v>
      </c>
      <c r="P27" s="187"/>
      <c r="R27" s="187" t="s">
        <v>293</v>
      </c>
    </row>
    <row r="28" spans="1:19" s="186" customFormat="1" ht="105" x14ac:dyDescent="0.25">
      <c r="A28" s="169"/>
      <c r="B28" s="148" t="s">
        <v>80</v>
      </c>
      <c r="C28" s="148" t="s">
        <v>81</v>
      </c>
      <c r="D28" s="149">
        <v>20</v>
      </c>
      <c r="E28" s="149"/>
      <c r="F28" s="149"/>
      <c r="G28" s="150"/>
      <c r="H28" s="149">
        <f>D28/2</f>
        <v>10</v>
      </c>
      <c r="I28" s="149"/>
      <c r="J28" s="376">
        <v>12</v>
      </c>
      <c r="K28" s="149"/>
      <c r="L28" s="151" t="s">
        <v>184</v>
      </c>
      <c r="M28" s="151" t="s">
        <v>86</v>
      </c>
      <c r="N28" s="377" t="s">
        <v>503</v>
      </c>
      <c r="P28" s="215" t="s">
        <v>407</v>
      </c>
      <c r="R28" s="187"/>
      <c r="S28" s="215" t="s">
        <v>410</v>
      </c>
    </row>
    <row r="29" spans="1:19" x14ac:dyDescent="0.25">
      <c r="B29" s="4"/>
      <c r="C29" s="4"/>
      <c r="D29" s="5"/>
      <c r="E29" s="5"/>
      <c r="F29" s="5"/>
      <c r="G29" s="6"/>
      <c r="H29" s="5"/>
      <c r="I29" s="5"/>
      <c r="J29" s="5"/>
      <c r="K29" s="5"/>
      <c r="L29" s="8"/>
      <c r="M29" s="8"/>
      <c r="N29" s="4"/>
      <c r="P29" s="4"/>
    </row>
    <row r="30" spans="1:19" x14ac:dyDescent="0.25">
      <c r="B30" s="16" t="s">
        <v>162</v>
      </c>
      <c r="C30" s="17"/>
      <c r="D30" s="18"/>
      <c r="E30" s="18"/>
      <c r="F30" s="18"/>
      <c r="G30" s="18"/>
      <c r="H30" s="18"/>
      <c r="I30" s="18"/>
      <c r="J30" s="18"/>
      <c r="K30" s="18"/>
      <c r="L30" s="17"/>
      <c r="M30" s="17"/>
      <c r="N30" s="19"/>
      <c r="P30" s="4"/>
    </row>
    <row r="31" spans="1:19" s="186" customFormat="1" ht="60" x14ac:dyDescent="0.25">
      <c r="A31" s="200">
        <v>41794</v>
      </c>
      <c r="B31" s="148" t="s">
        <v>164</v>
      </c>
      <c r="C31" s="148"/>
      <c r="D31" s="149">
        <v>10</v>
      </c>
      <c r="E31" s="149"/>
      <c r="F31" s="149"/>
      <c r="G31" s="150"/>
      <c r="H31" s="149">
        <f t="shared" ref="H31:H39" si="0">D31/2</f>
        <v>5</v>
      </c>
      <c r="I31" s="149"/>
      <c r="J31" s="149">
        <v>5</v>
      </c>
      <c r="K31" s="149"/>
      <c r="L31" s="151" t="s">
        <v>168</v>
      </c>
      <c r="M31" s="151" t="s">
        <v>86</v>
      </c>
      <c r="N31" s="148" t="s">
        <v>175</v>
      </c>
      <c r="P31" s="187" t="s">
        <v>304</v>
      </c>
      <c r="R31" s="187"/>
    </row>
    <row r="32" spans="1:19" s="186" customFormat="1" ht="60" x14ac:dyDescent="0.25">
      <c r="A32" s="200">
        <v>41794</v>
      </c>
      <c r="B32" s="148" t="s">
        <v>300</v>
      </c>
      <c r="C32" s="148" t="s">
        <v>165</v>
      </c>
      <c r="D32" s="149">
        <v>30</v>
      </c>
      <c r="E32" s="149"/>
      <c r="F32" s="149"/>
      <c r="G32" s="150"/>
      <c r="H32" s="149">
        <f>D32/2</f>
        <v>15</v>
      </c>
      <c r="I32" s="149"/>
      <c r="J32" s="149">
        <v>15</v>
      </c>
      <c r="K32" s="149"/>
      <c r="L32" s="151" t="s">
        <v>168</v>
      </c>
      <c r="M32" s="151" t="s">
        <v>86</v>
      </c>
      <c r="N32" s="148" t="s">
        <v>301</v>
      </c>
      <c r="P32" s="187" t="s">
        <v>304</v>
      </c>
      <c r="R32" s="187"/>
    </row>
    <row r="33" spans="1:19" s="186" customFormat="1" ht="30" x14ac:dyDescent="0.25">
      <c r="A33" s="200">
        <v>41794</v>
      </c>
      <c r="B33" s="218" t="s">
        <v>163</v>
      </c>
      <c r="C33" s="218" t="s">
        <v>165</v>
      </c>
      <c r="D33" s="219">
        <v>25</v>
      </c>
      <c r="E33" s="219"/>
      <c r="F33" s="219"/>
      <c r="G33" s="220"/>
      <c r="H33" s="219">
        <f t="shared" si="0"/>
        <v>12.5</v>
      </c>
      <c r="I33" s="219"/>
      <c r="J33" s="353">
        <v>12.5</v>
      </c>
      <c r="K33" s="353"/>
      <c r="L33" s="221" t="s">
        <v>168</v>
      </c>
      <c r="M33" s="221" t="s">
        <v>86</v>
      </c>
      <c r="N33" s="218" t="s">
        <v>176</v>
      </c>
      <c r="P33" s="187"/>
      <c r="R33" s="187"/>
      <c r="S33" s="186" t="s">
        <v>334</v>
      </c>
    </row>
    <row r="34" spans="1:19" s="186" customFormat="1" ht="30" x14ac:dyDescent="0.25">
      <c r="A34" s="200">
        <v>41794</v>
      </c>
      <c r="B34" s="216" t="s">
        <v>297</v>
      </c>
      <c r="C34" s="216" t="s">
        <v>298</v>
      </c>
      <c r="D34" s="174">
        <v>200</v>
      </c>
      <c r="E34" s="174"/>
      <c r="F34" s="174"/>
      <c r="G34" s="180"/>
      <c r="H34" s="174">
        <f>D34/2</f>
        <v>100</v>
      </c>
      <c r="I34" s="174"/>
      <c r="J34" s="149">
        <v>100</v>
      </c>
      <c r="K34" s="149"/>
      <c r="L34" s="217" t="s">
        <v>168</v>
      </c>
      <c r="M34" s="217" t="s">
        <v>86</v>
      </c>
      <c r="N34" s="216" t="s">
        <v>299</v>
      </c>
      <c r="P34" s="187" t="s">
        <v>305</v>
      </c>
      <c r="R34" s="187"/>
      <c r="S34" s="186" t="s">
        <v>334</v>
      </c>
    </row>
    <row r="35" spans="1:19" s="186" customFormat="1" ht="30" x14ac:dyDescent="0.25">
      <c r="A35" s="200">
        <v>41794</v>
      </c>
      <c r="B35" s="218" t="s">
        <v>166</v>
      </c>
      <c r="C35" s="218" t="s">
        <v>165</v>
      </c>
      <c r="D35" s="219">
        <v>100</v>
      </c>
      <c r="E35" s="219"/>
      <c r="F35" s="219"/>
      <c r="G35" s="220"/>
      <c r="H35" s="219">
        <f t="shared" si="0"/>
        <v>50</v>
      </c>
      <c r="I35" s="219"/>
      <c r="J35" s="353">
        <v>50</v>
      </c>
      <c r="K35" s="353"/>
      <c r="L35" s="221" t="s">
        <v>168</v>
      </c>
      <c r="M35" s="221" t="s">
        <v>86</v>
      </c>
      <c r="N35" s="218" t="s">
        <v>177</v>
      </c>
      <c r="P35" s="187"/>
      <c r="R35" s="187"/>
      <c r="S35" s="186" t="s">
        <v>334</v>
      </c>
    </row>
    <row r="36" spans="1:19" s="186" customFormat="1" ht="120" x14ac:dyDescent="0.25">
      <c r="A36" s="200">
        <v>41794</v>
      </c>
      <c r="B36" s="148" t="s">
        <v>167</v>
      </c>
      <c r="C36" s="148" t="s">
        <v>165</v>
      </c>
      <c r="D36" s="174">
        <v>36</v>
      </c>
      <c r="E36" s="149"/>
      <c r="F36" s="149"/>
      <c r="G36" s="150"/>
      <c r="H36" s="174">
        <f>D36/2</f>
        <v>18</v>
      </c>
      <c r="I36" s="149"/>
      <c r="J36" s="149">
        <v>18</v>
      </c>
      <c r="K36" s="149"/>
      <c r="L36" s="151" t="s">
        <v>168</v>
      </c>
      <c r="M36" s="151" t="s">
        <v>86</v>
      </c>
      <c r="N36" s="148" t="s">
        <v>178</v>
      </c>
      <c r="P36" s="215" t="s">
        <v>408</v>
      </c>
      <c r="R36" s="187"/>
      <c r="S36" s="215" t="s">
        <v>410</v>
      </c>
    </row>
    <row r="37" spans="1:19" s="186" customFormat="1" ht="45" x14ac:dyDescent="0.25">
      <c r="A37" s="200">
        <v>41794</v>
      </c>
      <c r="B37" s="148" t="s">
        <v>171</v>
      </c>
      <c r="C37" s="148" t="s">
        <v>172</v>
      </c>
      <c r="D37" s="149">
        <v>6</v>
      </c>
      <c r="E37" s="149"/>
      <c r="F37" s="149"/>
      <c r="G37" s="150"/>
      <c r="H37" s="149">
        <f>D37/2</f>
        <v>3</v>
      </c>
      <c r="I37" s="149"/>
      <c r="J37" s="149">
        <v>3</v>
      </c>
      <c r="K37" s="149"/>
      <c r="L37" s="151" t="s">
        <v>11</v>
      </c>
      <c r="M37" s="151" t="s">
        <v>87</v>
      </c>
      <c r="N37" s="148" t="s">
        <v>179</v>
      </c>
      <c r="P37" s="187"/>
      <c r="R37" s="187"/>
    </row>
    <row r="38" spans="1:19" s="186" customFormat="1" ht="105" x14ac:dyDescent="0.25">
      <c r="A38" s="200">
        <v>41794</v>
      </c>
      <c r="B38" s="148" t="s">
        <v>169</v>
      </c>
      <c r="C38" s="148" t="s">
        <v>165</v>
      </c>
      <c r="D38" s="149">
        <v>50</v>
      </c>
      <c r="E38" s="149"/>
      <c r="F38" s="149"/>
      <c r="G38" s="150"/>
      <c r="H38" s="149">
        <f t="shared" si="0"/>
        <v>25</v>
      </c>
      <c r="I38" s="149"/>
      <c r="J38" s="149">
        <v>25</v>
      </c>
      <c r="K38" s="149"/>
      <c r="L38" s="151" t="s">
        <v>168</v>
      </c>
      <c r="M38" s="151" t="s">
        <v>86</v>
      </c>
      <c r="N38" s="148" t="s">
        <v>170</v>
      </c>
      <c r="P38" s="215" t="s">
        <v>409</v>
      </c>
      <c r="R38" s="187"/>
      <c r="S38" s="215" t="s">
        <v>410</v>
      </c>
    </row>
    <row r="39" spans="1:19" s="186" customFormat="1" ht="30" x14ac:dyDescent="0.25">
      <c r="A39" s="200">
        <v>41794</v>
      </c>
      <c r="B39" s="148" t="s">
        <v>173</v>
      </c>
      <c r="C39" s="148"/>
      <c r="D39" s="149">
        <v>20</v>
      </c>
      <c r="E39" s="149"/>
      <c r="F39" s="149"/>
      <c r="G39" s="150"/>
      <c r="H39" s="149">
        <f t="shared" si="0"/>
        <v>10</v>
      </c>
      <c r="I39" s="149"/>
      <c r="J39" s="149">
        <v>10</v>
      </c>
      <c r="K39" s="149"/>
      <c r="L39" s="151" t="s">
        <v>8</v>
      </c>
      <c r="M39" s="151" t="s">
        <v>86</v>
      </c>
      <c r="N39" s="148" t="s">
        <v>174</v>
      </c>
      <c r="P39" s="187"/>
      <c r="R39" s="187"/>
    </row>
    <row r="40" spans="1:19" x14ac:dyDescent="0.25">
      <c r="B40" s="4"/>
      <c r="C40" s="4"/>
      <c r="D40" s="5"/>
      <c r="E40" s="5"/>
      <c r="F40" s="5"/>
      <c r="G40" s="6"/>
      <c r="H40" s="5"/>
      <c r="I40" s="5"/>
      <c r="J40" s="5"/>
      <c r="K40" s="5"/>
      <c r="L40" s="8"/>
      <c r="M40" s="8"/>
      <c r="N40" s="4"/>
      <c r="P40" s="4"/>
    </row>
    <row r="41" spans="1:19" x14ac:dyDescent="0.25">
      <c r="B41" s="20" t="s">
        <v>3</v>
      </c>
      <c r="C41" s="21"/>
      <c r="D41" s="22"/>
      <c r="E41" s="22"/>
      <c r="F41" s="22"/>
      <c r="G41" s="22"/>
      <c r="H41" s="22"/>
      <c r="I41" s="22"/>
      <c r="J41" s="22"/>
      <c r="K41" s="22"/>
      <c r="L41" s="21"/>
      <c r="M41" s="21"/>
      <c r="N41" s="23"/>
      <c r="P41" s="4"/>
    </row>
    <row r="42" spans="1:19" s="186" customFormat="1" ht="60.75" customHeight="1" x14ac:dyDescent="0.25">
      <c r="A42" s="189">
        <v>42391</v>
      </c>
      <c r="B42" s="201" t="s">
        <v>148</v>
      </c>
      <c r="C42" s="201" t="s">
        <v>213</v>
      </c>
      <c r="D42" s="167"/>
      <c r="E42" s="167">
        <v>950</v>
      </c>
      <c r="F42" s="167">
        <v>995</v>
      </c>
      <c r="G42" s="209">
        <v>0.09</v>
      </c>
      <c r="H42" s="210">
        <v>50</v>
      </c>
      <c r="I42" s="210">
        <v>80</v>
      </c>
      <c r="J42" s="354">
        <v>50</v>
      </c>
      <c r="K42" s="354">
        <v>80</v>
      </c>
      <c r="L42" s="151" t="s">
        <v>9</v>
      </c>
      <c r="M42" s="151" t="s">
        <v>87</v>
      </c>
      <c r="N42" s="148" t="s">
        <v>214</v>
      </c>
      <c r="P42" s="187"/>
      <c r="R42" s="187" t="s">
        <v>292</v>
      </c>
    </row>
    <row r="43" spans="1:19" s="186" customFormat="1" ht="45" x14ac:dyDescent="0.25">
      <c r="A43" s="189">
        <v>42391</v>
      </c>
      <c r="B43" s="201" t="s">
        <v>213</v>
      </c>
      <c r="C43" s="201" t="s">
        <v>219</v>
      </c>
      <c r="D43" s="149"/>
      <c r="E43" s="167">
        <v>950</v>
      </c>
      <c r="F43" s="167">
        <v>995</v>
      </c>
      <c r="G43" s="209">
        <v>3.5000000000000003E-2</v>
      </c>
      <c r="H43" s="210">
        <v>35</v>
      </c>
      <c r="I43" s="211">
        <v>35</v>
      </c>
      <c r="J43" s="354">
        <v>35</v>
      </c>
      <c r="K43" s="355">
        <v>35</v>
      </c>
      <c r="L43" s="151" t="s">
        <v>9</v>
      </c>
      <c r="M43" s="151" t="s">
        <v>87</v>
      </c>
      <c r="N43" s="148" t="s">
        <v>220</v>
      </c>
      <c r="P43" s="187"/>
      <c r="R43" s="187" t="s">
        <v>292</v>
      </c>
    </row>
    <row r="44" spans="1:19" s="186" customFormat="1" ht="30" x14ac:dyDescent="0.25">
      <c r="A44" s="200">
        <v>41578</v>
      </c>
      <c r="B44" s="201" t="s">
        <v>149</v>
      </c>
      <c r="C44" s="201" t="s">
        <v>93</v>
      </c>
      <c r="D44" s="167">
        <v>50</v>
      </c>
      <c r="E44" s="167">
        <v>950</v>
      </c>
      <c r="F44" s="167">
        <v>995</v>
      </c>
      <c r="G44" s="168">
        <f>D44/E44</f>
        <v>5.2631578947368418E-2</v>
      </c>
      <c r="H44" s="167">
        <v>50</v>
      </c>
      <c r="I44" s="167">
        <v>50</v>
      </c>
      <c r="J44" s="354">
        <v>50</v>
      </c>
      <c r="K44" s="354">
        <v>50</v>
      </c>
      <c r="L44" s="151" t="s">
        <v>11</v>
      </c>
      <c r="M44" s="151" t="s">
        <v>87</v>
      </c>
      <c r="N44" s="148" t="s">
        <v>69</v>
      </c>
      <c r="P44" s="187"/>
      <c r="R44" s="187"/>
    </row>
    <row r="45" spans="1:19" s="186" customFormat="1" x14ac:dyDescent="0.25">
      <c r="A45" s="169"/>
      <c r="B45" s="148" t="s">
        <v>91</v>
      </c>
      <c r="C45" s="148" t="s">
        <v>14</v>
      </c>
      <c r="D45" s="149">
        <v>0</v>
      </c>
      <c r="E45" s="149">
        <v>950</v>
      </c>
      <c r="F45" s="149">
        <f>F13</f>
        <v>938</v>
      </c>
      <c r="G45" s="150">
        <f>D45/E45</f>
        <v>0</v>
      </c>
      <c r="H45" s="149">
        <f>D45/2</f>
        <v>0</v>
      </c>
      <c r="I45" s="149">
        <v>50</v>
      </c>
      <c r="J45" s="355">
        <v>0</v>
      </c>
      <c r="K45" s="355">
        <v>50</v>
      </c>
      <c r="L45" s="151" t="s">
        <v>11</v>
      </c>
      <c r="M45" s="151" t="s">
        <v>86</v>
      </c>
      <c r="N45" s="148" t="s">
        <v>89</v>
      </c>
      <c r="P45" s="187"/>
      <c r="R45" s="187"/>
    </row>
    <row r="46" spans="1:19" x14ac:dyDescent="0.25">
      <c r="B46" s="170"/>
      <c r="C46" s="171"/>
      <c r="D46" s="172"/>
      <c r="E46" s="172"/>
      <c r="F46" s="172"/>
      <c r="G46" s="173"/>
      <c r="H46" s="172"/>
      <c r="I46" s="172"/>
      <c r="J46" s="356"/>
      <c r="K46" s="356"/>
      <c r="L46" s="8"/>
      <c r="M46" s="8"/>
      <c r="N46" s="4"/>
      <c r="P46" s="4"/>
    </row>
    <row r="47" spans="1:19" x14ac:dyDescent="0.25">
      <c r="B47" s="38" t="s">
        <v>137</v>
      </c>
      <c r="C47" s="39"/>
      <c r="D47" s="28"/>
      <c r="E47" s="28"/>
      <c r="F47" s="28"/>
      <c r="G47" s="28"/>
      <c r="H47" s="28"/>
      <c r="I47" s="28"/>
      <c r="J47" s="28"/>
      <c r="K47" s="28"/>
      <c r="L47" s="27"/>
      <c r="M47" s="27"/>
      <c r="N47" s="29"/>
      <c r="P47" s="4"/>
    </row>
    <row r="48" spans="1:19" s="186" customFormat="1" ht="45" x14ac:dyDescent="0.25">
      <c r="A48" s="200">
        <v>42123</v>
      </c>
      <c r="B48" s="148" t="s">
        <v>190</v>
      </c>
      <c r="C48" s="148" t="s">
        <v>185</v>
      </c>
      <c r="D48" s="149"/>
      <c r="E48" s="149">
        <v>1100</v>
      </c>
      <c r="F48" s="149">
        <v>1850</v>
      </c>
      <c r="G48" s="168">
        <v>3.5999999999999997E-2</v>
      </c>
      <c r="H48" s="167">
        <v>40</v>
      </c>
      <c r="I48" s="149">
        <v>40</v>
      </c>
      <c r="J48" s="354">
        <v>40</v>
      </c>
      <c r="K48" s="355">
        <v>40</v>
      </c>
      <c r="L48" s="151" t="s">
        <v>9</v>
      </c>
      <c r="M48" s="151" t="s">
        <v>87</v>
      </c>
      <c r="N48" s="148" t="s">
        <v>186</v>
      </c>
      <c r="P48" s="187"/>
      <c r="R48" s="203"/>
    </row>
    <row r="49" spans="1:18" s="186" customFormat="1" ht="45" x14ac:dyDescent="0.25">
      <c r="A49" s="200">
        <v>42123</v>
      </c>
      <c r="B49" s="148" t="s">
        <v>185</v>
      </c>
      <c r="C49" s="148" t="s">
        <v>191</v>
      </c>
      <c r="D49" s="149"/>
      <c r="E49" s="149">
        <v>1100</v>
      </c>
      <c r="F49" s="149">
        <v>1850</v>
      </c>
      <c r="G49" s="168">
        <v>3.2000000000000001E-2</v>
      </c>
      <c r="H49" s="167">
        <v>35</v>
      </c>
      <c r="I49" s="149">
        <v>35</v>
      </c>
      <c r="J49" s="354">
        <v>35</v>
      </c>
      <c r="K49" s="355">
        <v>35</v>
      </c>
      <c r="L49" s="151" t="s">
        <v>9</v>
      </c>
      <c r="M49" s="151" t="s">
        <v>87</v>
      </c>
      <c r="N49" s="148" t="s">
        <v>188</v>
      </c>
      <c r="P49" s="187"/>
      <c r="R49" s="203"/>
    </row>
    <row r="50" spans="1:18" s="186" customFormat="1" ht="45" x14ac:dyDescent="0.25">
      <c r="A50" s="200">
        <v>42145</v>
      </c>
      <c r="B50" s="148" t="s">
        <v>189</v>
      </c>
      <c r="C50" s="148" t="s">
        <v>192</v>
      </c>
      <c r="D50" s="208"/>
      <c r="E50" s="149">
        <v>1600</v>
      </c>
      <c r="F50" s="149">
        <v>1850</v>
      </c>
      <c r="G50" s="209">
        <v>7.1999999999999995E-2</v>
      </c>
      <c r="H50" s="210">
        <v>106</v>
      </c>
      <c r="I50" s="211">
        <v>106</v>
      </c>
      <c r="J50" s="354">
        <v>106</v>
      </c>
      <c r="K50" s="355">
        <v>106</v>
      </c>
      <c r="L50" s="151" t="s">
        <v>9</v>
      </c>
      <c r="M50" s="151" t="s">
        <v>87</v>
      </c>
      <c r="N50" s="148" t="s">
        <v>193</v>
      </c>
      <c r="P50" s="187"/>
      <c r="R50" s="187" t="s">
        <v>274</v>
      </c>
    </row>
    <row r="51" spans="1:18" s="186" customFormat="1" ht="45" customHeight="1" x14ac:dyDescent="0.25">
      <c r="A51" s="200">
        <v>42145</v>
      </c>
      <c r="B51" s="148" t="s">
        <v>194</v>
      </c>
      <c r="C51" s="148" t="s">
        <v>150</v>
      </c>
      <c r="D51" s="211">
        <v>104</v>
      </c>
      <c r="E51" s="149">
        <v>1600</v>
      </c>
      <c r="F51" s="149">
        <v>1850</v>
      </c>
      <c r="G51" s="209">
        <f t="shared" ref="G51:G56" si="1">D51/E51</f>
        <v>6.5000000000000002E-2</v>
      </c>
      <c r="H51" s="210">
        <v>100</v>
      </c>
      <c r="I51" s="211">
        <v>100</v>
      </c>
      <c r="J51" s="354">
        <v>100</v>
      </c>
      <c r="K51" s="355">
        <v>100</v>
      </c>
      <c r="L51" s="151" t="s">
        <v>9</v>
      </c>
      <c r="M51" s="151" t="s">
        <v>86</v>
      </c>
      <c r="N51" s="148" t="s">
        <v>195</v>
      </c>
      <c r="P51" s="187"/>
      <c r="R51" s="187" t="s">
        <v>274</v>
      </c>
    </row>
    <row r="52" spans="1:18" s="186" customFormat="1" x14ac:dyDescent="0.25">
      <c r="A52" s="200">
        <v>42123</v>
      </c>
      <c r="B52" s="148" t="s">
        <v>192</v>
      </c>
      <c r="C52" s="148" t="s">
        <v>191</v>
      </c>
      <c r="D52" s="149">
        <v>100</v>
      </c>
      <c r="E52" s="149">
        <v>1600</v>
      </c>
      <c r="F52" s="149">
        <v>1850</v>
      </c>
      <c r="G52" s="168">
        <f t="shared" si="1"/>
        <v>6.25E-2</v>
      </c>
      <c r="H52" s="167">
        <f>D52/2</f>
        <v>50</v>
      </c>
      <c r="I52" s="149">
        <v>50</v>
      </c>
      <c r="J52" s="354">
        <v>50</v>
      </c>
      <c r="K52" s="355">
        <v>50</v>
      </c>
      <c r="L52" s="151" t="s">
        <v>9</v>
      </c>
      <c r="M52" s="151" t="s">
        <v>87</v>
      </c>
      <c r="N52" s="148" t="s">
        <v>196</v>
      </c>
      <c r="P52" s="187"/>
      <c r="R52" s="203"/>
    </row>
    <row r="53" spans="1:18" s="186" customFormat="1" ht="105" x14ac:dyDescent="0.25">
      <c r="A53" s="200">
        <v>42123</v>
      </c>
      <c r="B53" s="148" t="s">
        <v>199</v>
      </c>
      <c r="C53" s="148" t="s">
        <v>203</v>
      </c>
      <c r="D53" s="149">
        <v>50</v>
      </c>
      <c r="E53" s="149">
        <v>1600</v>
      </c>
      <c r="F53" s="149">
        <v>1850</v>
      </c>
      <c r="G53" s="168">
        <f t="shared" si="1"/>
        <v>3.125E-2</v>
      </c>
      <c r="H53" s="167">
        <f>D53/2</f>
        <v>25</v>
      </c>
      <c r="I53" s="149">
        <v>25</v>
      </c>
      <c r="J53" s="354">
        <v>25</v>
      </c>
      <c r="K53" s="355">
        <v>25</v>
      </c>
      <c r="L53" s="151" t="s">
        <v>9</v>
      </c>
      <c r="M53" s="151" t="s">
        <v>86</v>
      </c>
      <c r="N53" s="148" t="s">
        <v>202</v>
      </c>
      <c r="P53" s="230" t="s">
        <v>327</v>
      </c>
      <c r="R53" s="232"/>
    </row>
    <row r="54" spans="1:18" s="186" customFormat="1" x14ac:dyDescent="0.25">
      <c r="A54" s="200">
        <v>42123</v>
      </c>
      <c r="B54" s="148" t="s">
        <v>187</v>
      </c>
      <c r="C54" s="148" t="s">
        <v>201</v>
      </c>
      <c r="D54" s="149">
        <v>50</v>
      </c>
      <c r="E54" s="149">
        <v>1600</v>
      </c>
      <c r="F54" s="149">
        <v>1850</v>
      </c>
      <c r="G54" s="168">
        <f t="shared" si="1"/>
        <v>3.125E-2</v>
      </c>
      <c r="H54" s="167">
        <f>D54/2</f>
        <v>25</v>
      </c>
      <c r="I54" s="149">
        <v>25</v>
      </c>
      <c r="J54" s="354">
        <v>25</v>
      </c>
      <c r="K54" s="355">
        <v>25</v>
      </c>
      <c r="L54" s="151" t="s">
        <v>11</v>
      </c>
      <c r="M54" s="151" t="s">
        <v>87</v>
      </c>
      <c r="N54" s="148" t="s">
        <v>197</v>
      </c>
      <c r="P54" s="187"/>
      <c r="R54" s="203"/>
    </row>
    <row r="55" spans="1:18" s="186" customFormat="1" ht="30" x14ac:dyDescent="0.25">
      <c r="A55" s="200">
        <v>42123</v>
      </c>
      <c r="B55" s="148" t="s">
        <v>200</v>
      </c>
      <c r="C55" s="148" t="s">
        <v>204</v>
      </c>
      <c r="D55" s="149">
        <v>100</v>
      </c>
      <c r="E55" s="149">
        <v>1600</v>
      </c>
      <c r="F55" s="149">
        <v>1850</v>
      </c>
      <c r="G55" s="168">
        <f t="shared" si="1"/>
        <v>6.25E-2</v>
      </c>
      <c r="H55" s="167">
        <f>D55/2</f>
        <v>50</v>
      </c>
      <c r="I55" s="149">
        <v>50</v>
      </c>
      <c r="J55" s="354">
        <v>50</v>
      </c>
      <c r="K55" s="355">
        <v>50</v>
      </c>
      <c r="L55" s="151" t="s">
        <v>11</v>
      </c>
      <c r="M55" s="151" t="s">
        <v>87</v>
      </c>
      <c r="N55" s="148" t="s">
        <v>198</v>
      </c>
      <c r="P55" s="187"/>
      <c r="R55" s="203"/>
    </row>
    <row r="56" spans="1:18" s="186" customFormat="1" ht="45" x14ac:dyDescent="0.25">
      <c r="A56" s="200">
        <v>42145</v>
      </c>
      <c r="B56" s="214" t="s">
        <v>276</v>
      </c>
      <c r="C56" s="148" t="s">
        <v>255</v>
      </c>
      <c r="D56" s="211">
        <v>50</v>
      </c>
      <c r="E56" s="211">
        <v>1600</v>
      </c>
      <c r="F56" s="211"/>
      <c r="G56" s="212">
        <f t="shared" si="1"/>
        <v>3.125E-2</v>
      </c>
      <c r="H56" s="211">
        <v>50</v>
      </c>
      <c r="I56" s="211">
        <v>50</v>
      </c>
      <c r="J56" s="355">
        <v>50</v>
      </c>
      <c r="K56" s="355">
        <v>50</v>
      </c>
      <c r="L56" s="213" t="s">
        <v>9</v>
      </c>
      <c r="M56" s="213" t="s">
        <v>87</v>
      </c>
      <c r="N56" s="148" t="s">
        <v>256</v>
      </c>
      <c r="P56" s="187"/>
      <c r="R56" s="187" t="s">
        <v>274</v>
      </c>
    </row>
    <row r="57" spans="1:18" x14ac:dyDescent="0.25">
      <c r="B57" s="4"/>
      <c r="C57" s="4"/>
      <c r="D57" s="5"/>
      <c r="E57" s="5"/>
      <c r="F57" s="5"/>
      <c r="G57" s="6"/>
      <c r="H57" s="5"/>
      <c r="I57" s="5"/>
      <c r="J57" s="357"/>
      <c r="K57" s="357"/>
      <c r="L57" s="8"/>
      <c r="M57" s="8"/>
      <c r="N57" s="4"/>
      <c r="P57" s="4"/>
    </row>
    <row r="58" spans="1:18" x14ac:dyDescent="0.25">
      <c r="B58" s="42" t="s">
        <v>26</v>
      </c>
      <c r="C58" s="43"/>
      <c r="D58" s="34"/>
      <c r="E58" s="34"/>
      <c r="F58" s="34"/>
      <c r="G58" s="34"/>
      <c r="H58" s="34"/>
      <c r="I58" s="34"/>
      <c r="J58" s="34"/>
      <c r="K58" s="34"/>
      <c r="L58" s="33"/>
      <c r="M58" s="33"/>
      <c r="N58" s="35"/>
      <c r="P58" s="4"/>
    </row>
    <row r="59" spans="1:18" s="186" customFormat="1" ht="45" x14ac:dyDescent="0.25">
      <c r="A59" s="200">
        <v>42124</v>
      </c>
      <c r="B59" s="148" t="s">
        <v>279</v>
      </c>
      <c r="C59" s="148" t="s">
        <v>208</v>
      </c>
      <c r="D59" s="149"/>
      <c r="E59" s="149">
        <v>796</v>
      </c>
      <c r="F59" s="149">
        <v>1000</v>
      </c>
      <c r="G59" s="168">
        <v>0.15</v>
      </c>
      <c r="H59" s="167">
        <v>60</v>
      </c>
      <c r="I59" s="149">
        <v>0</v>
      </c>
      <c r="J59" s="167">
        <v>60</v>
      </c>
      <c r="K59" s="149">
        <v>0</v>
      </c>
      <c r="L59" s="151" t="s">
        <v>9</v>
      </c>
      <c r="M59" s="151" t="s">
        <v>86</v>
      </c>
      <c r="N59" s="148" t="s">
        <v>209</v>
      </c>
      <c r="P59" s="187"/>
      <c r="R59" s="187"/>
    </row>
    <row r="60" spans="1:18" s="186" customFormat="1" ht="45" x14ac:dyDescent="0.25">
      <c r="A60" s="200">
        <v>42124</v>
      </c>
      <c r="B60" s="148" t="s">
        <v>208</v>
      </c>
      <c r="C60" s="148" t="s">
        <v>210</v>
      </c>
      <c r="D60" s="149"/>
      <c r="E60" s="149">
        <v>796</v>
      </c>
      <c r="F60" s="149">
        <v>1000</v>
      </c>
      <c r="G60" s="168">
        <v>0.08</v>
      </c>
      <c r="H60" s="167">
        <v>60</v>
      </c>
      <c r="I60" s="149">
        <v>0</v>
      </c>
      <c r="J60" s="167">
        <v>60</v>
      </c>
      <c r="K60" s="149">
        <v>0</v>
      </c>
      <c r="L60" s="151" t="s">
        <v>9</v>
      </c>
      <c r="M60" s="151" t="s">
        <v>86</v>
      </c>
      <c r="N60" s="148" t="s">
        <v>275</v>
      </c>
      <c r="P60" s="187"/>
      <c r="R60" s="187"/>
    </row>
    <row r="61" spans="1:18" s="186" customFormat="1" ht="45" x14ac:dyDescent="0.25">
      <c r="A61" s="200">
        <v>42145</v>
      </c>
      <c r="B61" s="148" t="s">
        <v>181</v>
      </c>
      <c r="C61" s="148" t="s">
        <v>211</v>
      </c>
      <c r="D61" s="149"/>
      <c r="E61" s="211">
        <v>820</v>
      </c>
      <c r="F61" s="149">
        <v>1000</v>
      </c>
      <c r="G61" s="168">
        <v>0.1</v>
      </c>
      <c r="H61" s="167">
        <v>50</v>
      </c>
      <c r="I61" s="149">
        <v>50</v>
      </c>
      <c r="J61" s="167">
        <v>50</v>
      </c>
      <c r="K61" s="149">
        <v>50</v>
      </c>
      <c r="L61" s="151" t="s">
        <v>9</v>
      </c>
      <c r="M61" s="151" t="s">
        <v>87</v>
      </c>
      <c r="N61" s="148" t="s">
        <v>212</v>
      </c>
      <c r="P61" s="187"/>
      <c r="R61" s="187"/>
    </row>
    <row r="62" spans="1:18" s="186" customFormat="1" ht="60" x14ac:dyDescent="0.25">
      <c r="A62" s="200">
        <v>42145</v>
      </c>
      <c r="B62" s="148" t="s">
        <v>72</v>
      </c>
      <c r="C62" s="148" t="s">
        <v>93</v>
      </c>
      <c r="D62" s="149">
        <v>200</v>
      </c>
      <c r="E62" s="211">
        <v>820</v>
      </c>
      <c r="F62" s="149">
        <v>1000</v>
      </c>
      <c r="G62" s="150">
        <f>D62/E62</f>
        <v>0.24390243902439024</v>
      </c>
      <c r="H62" s="149">
        <f>D62/2</f>
        <v>100</v>
      </c>
      <c r="I62" s="149">
        <v>100</v>
      </c>
      <c r="J62" s="149">
        <v>100</v>
      </c>
      <c r="K62" s="149">
        <v>100</v>
      </c>
      <c r="L62" s="151" t="s">
        <v>11</v>
      </c>
      <c r="M62" s="151" t="s">
        <v>87</v>
      </c>
      <c r="N62" s="148" t="s">
        <v>73</v>
      </c>
      <c r="P62" s="187"/>
      <c r="R62" s="187"/>
    </row>
    <row r="64" spans="1:18" x14ac:dyDescent="0.25">
      <c r="B64" s="40" t="s">
        <v>25</v>
      </c>
      <c r="C64" s="41"/>
      <c r="D64" s="31"/>
      <c r="E64" s="31"/>
      <c r="F64" s="31"/>
      <c r="G64" s="31"/>
      <c r="H64" s="31"/>
      <c r="I64" s="31"/>
      <c r="J64" s="31"/>
      <c r="K64" s="31"/>
      <c r="L64" s="30"/>
      <c r="M64" s="30"/>
      <c r="N64" s="32"/>
      <c r="P64" s="4"/>
    </row>
    <row r="65" spans="1:19" ht="30" x14ac:dyDescent="0.25">
      <c r="A65" s="177">
        <v>41885</v>
      </c>
      <c r="B65" s="234" t="s">
        <v>94</v>
      </c>
      <c r="C65" s="234" t="s">
        <v>95</v>
      </c>
      <c r="D65" s="176">
        <v>200</v>
      </c>
      <c r="E65" s="2">
        <v>1200</v>
      </c>
      <c r="F65" s="2">
        <v>1000</v>
      </c>
      <c r="G65" s="3">
        <f>D65/E65</f>
        <v>0.16666666666666666</v>
      </c>
      <c r="H65" s="235">
        <v>60</v>
      </c>
      <c r="I65" s="235">
        <v>60</v>
      </c>
      <c r="J65" s="355">
        <v>60</v>
      </c>
      <c r="K65" s="355">
        <v>60</v>
      </c>
      <c r="L65" s="9" t="s">
        <v>30</v>
      </c>
      <c r="M65" s="9" t="s">
        <v>86</v>
      </c>
      <c r="N65" s="1" t="s">
        <v>32</v>
      </c>
      <c r="P65" s="4"/>
      <c r="R65" s="236" t="s">
        <v>346</v>
      </c>
      <c r="S65" s="241" t="s">
        <v>357</v>
      </c>
    </row>
    <row r="66" spans="1:19" ht="60" x14ac:dyDescent="0.25">
      <c r="A66" s="184">
        <v>42132</v>
      </c>
      <c r="B66" s="1" t="s">
        <v>96</v>
      </c>
      <c r="C66" s="1" t="s">
        <v>34</v>
      </c>
      <c r="D66" s="2">
        <v>100</v>
      </c>
      <c r="E66" s="2">
        <v>1200</v>
      </c>
      <c r="F66" s="2">
        <v>1000</v>
      </c>
      <c r="G66" s="3">
        <f>D66/E66</f>
        <v>8.3333333333333329E-2</v>
      </c>
      <c r="H66" s="182">
        <v>300</v>
      </c>
      <c r="I66" s="182">
        <v>300</v>
      </c>
      <c r="J66" s="355">
        <v>300</v>
      </c>
      <c r="K66" s="355">
        <v>300</v>
      </c>
      <c r="L66" s="9" t="s">
        <v>30</v>
      </c>
      <c r="M66" s="9" t="s">
        <v>86</v>
      </c>
      <c r="N66" s="1" t="s">
        <v>35</v>
      </c>
      <c r="P66" s="4"/>
      <c r="R66" s="4" t="s">
        <v>221</v>
      </c>
    </row>
    <row r="67" spans="1:19" ht="60" x14ac:dyDescent="0.25">
      <c r="A67" s="165">
        <v>41681</v>
      </c>
      <c r="B67" s="1" t="s">
        <v>96</v>
      </c>
      <c r="C67" s="1" t="s">
        <v>27</v>
      </c>
      <c r="D67" s="174">
        <v>200</v>
      </c>
      <c r="E67" s="2">
        <v>1200</v>
      </c>
      <c r="F67" s="2">
        <v>1000</v>
      </c>
      <c r="G67" s="3">
        <f>D67/E67</f>
        <v>0.16666666666666666</v>
      </c>
      <c r="H67" s="2">
        <f>D67/2</f>
        <v>100</v>
      </c>
      <c r="I67" s="174">
        <v>100</v>
      </c>
      <c r="J67" s="355">
        <v>100</v>
      </c>
      <c r="K67" s="355">
        <v>100</v>
      </c>
      <c r="L67" s="9" t="s">
        <v>30</v>
      </c>
      <c r="M67" s="9" t="s">
        <v>86</v>
      </c>
      <c r="N67" s="1" t="s">
        <v>71</v>
      </c>
      <c r="P67" s="230" t="s">
        <v>328</v>
      </c>
      <c r="R67" s="231"/>
    </row>
    <row r="68" spans="1:19" ht="30" x14ac:dyDescent="0.25">
      <c r="A68" s="177">
        <v>42145</v>
      </c>
      <c r="B68" s="148" t="s">
        <v>96</v>
      </c>
      <c r="C68" s="148" t="s">
        <v>98</v>
      </c>
      <c r="D68" s="208">
        <v>200</v>
      </c>
      <c r="E68" s="149">
        <v>1200</v>
      </c>
      <c r="F68" s="149">
        <v>1000</v>
      </c>
      <c r="G68" s="150">
        <f>D68/E68</f>
        <v>0.16666666666666666</v>
      </c>
      <c r="H68" s="208">
        <f>D68/2</f>
        <v>100</v>
      </c>
      <c r="I68" s="176">
        <v>100</v>
      </c>
      <c r="J68" s="355">
        <v>100</v>
      </c>
      <c r="K68" s="355">
        <v>100</v>
      </c>
      <c r="L68" s="151" t="s">
        <v>30</v>
      </c>
      <c r="M68" s="151" t="s">
        <v>86</v>
      </c>
      <c r="N68" s="148" t="s">
        <v>99</v>
      </c>
      <c r="P68" s="4" t="s">
        <v>237</v>
      </c>
    </row>
    <row r="69" spans="1:19" ht="30" x14ac:dyDescent="0.25">
      <c r="A69" s="184">
        <v>42124</v>
      </c>
      <c r="B69" s="1" t="s">
        <v>28</v>
      </c>
      <c r="C69" s="1" t="s">
        <v>29</v>
      </c>
      <c r="D69" s="2">
        <v>100</v>
      </c>
      <c r="E69" s="2">
        <v>1200</v>
      </c>
      <c r="F69" s="2">
        <v>1000</v>
      </c>
      <c r="G69" s="3">
        <f>D69/E69</f>
        <v>8.3333333333333329E-2</v>
      </c>
      <c r="H69" s="2">
        <f>D69/2</f>
        <v>50</v>
      </c>
      <c r="I69" s="2">
        <v>50</v>
      </c>
      <c r="J69" s="355">
        <v>50</v>
      </c>
      <c r="K69" s="355">
        <v>50</v>
      </c>
      <c r="L69" s="9" t="s">
        <v>11</v>
      </c>
      <c r="M69" s="9" t="s">
        <v>87</v>
      </c>
      <c r="N69" s="1" t="s">
        <v>31</v>
      </c>
      <c r="P69" s="4"/>
    </row>
    <row r="70" spans="1:19" x14ac:dyDescent="0.25">
      <c r="B70" s="4"/>
      <c r="C70" s="4"/>
      <c r="D70" s="5"/>
      <c r="E70" s="5"/>
      <c r="F70" s="5"/>
      <c r="G70" s="6"/>
      <c r="H70" s="5"/>
      <c r="I70" s="5"/>
      <c r="J70" s="5"/>
      <c r="K70" s="5"/>
      <c r="L70" s="8"/>
      <c r="M70" s="8"/>
      <c r="N70" s="4"/>
      <c r="P70" s="4"/>
    </row>
  </sheetData>
  <pageMargins left="0.25" right="0.25" top="0.5" bottom="0.5" header="0.3" footer="0.25"/>
  <pageSetup paperSize="17" scale="95" orientation="landscape" r:id="rId1"/>
  <headerFooter>
    <oddFooter>&amp;L&amp;F&amp;C&amp;A&amp;RPage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42"/>
  <sheetViews>
    <sheetView showGridLines="0" zoomScaleNormal="100" zoomScalePageLayoutView="55" workbookViewId="0">
      <pane ySplit="6" topLeftCell="A7" activePane="bottomLeft" state="frozenSplit"/>
      <selection pane="bottomLeft" activeCell="B9" sqref="B9"/>
    </sheetView>
  </sheetViews>
  <sheetFormatPr defaultRowHeight="15" x14ac:dyDescent="0.25"/>
  <cols>
    <col min="1" max="1" width="1.7109375" style="186" customWidth="1"/>
    <col min="2" max="2" width="27.42578125" customWidth="1"/>
    <col min="3" max="3" width="26" customWidth="1"/>
    <col min="4" max="6" width="9.7109375" customWidth="1"/>
    <col min="7" max="7" width="51.28515625" customWidth="1"/>
    <col min="8" max="8" width="2.5703125" customWidth="1"/>
    <col min="9" max="9" width="66" customWidth="1"/>
    <col min="10" max="10" width="9.140625" style="186" customWidth="1"/>
    <col min="11" max="11" width="9.140625" customWidth="1"/>
    <col min="12" max="12" width="11.28515625" customWidth="1"/>
    <col min="13" max="13" width="9.140625" customWidth="1"/>
  </cols>
  <sheetData>
    <row r="2" spans="2:16" ht="18.75" x14ac:dyDescent="0.3">
      <c r="B2" s="80" t="s">
        <v>135</v>
      </c>
      <c r="C2" s="81"/>
      <c r="D2" s="82" t="str">
        <f>'1.  Intro, Defs, Change Log'!D3</f>
        <v>LCA-10147-G</v>
      </c>
      <c r="E2" s="83"/>
      <c r="F2" s="84" t="s">
        <v>434</v>
      </c>
      <c r="G2" s="85">
        <f>MAX('1.  Intro, Defs, Change Log'!$B:$B:'1.  Intro, Defs, Change Log'!$B:$B)</f>
        <v>43249</v>
      </c>
    </row>
    <row r="3" spans="2:16" x14ac:dyDescent="0.25">
      <c r="B3" s="86"/>
      <c r="C3" s="87"/>
      <c r="D3" s="164"/>
      <c r="E3" s="87"/>
      <c r="F3" s="88" t="s">
        <v>15</v>
      </c>
      <c r="G3" s="89">
        <f ca="1">NOW()</f>
        <v>43249.318045486114</v>
      </c>
    </row>
    <row r="4" spans="2:16" ht="8.25" customHeight="1" x14ac:dyDescent="0.25">
      <c r="B4" s="7"/>
    </row>
    <row r="5" spans="2:16" x14ac:dyDescent="0.25">
      <c r="B5" s="155" t="s">
        <v>134</v>
      </c>
      <c r="C5" s="156"/>
      <c r="D5" s="157"/>
      <c r="E5" s="158" t="s">
        <v>102</v>
      </c>
      <c r="F5" s="159"/>
      <c r="G5" s="161"/>
      <c r="I5" s="161" t="s">
        <v>399</v>
      </c>
    </row>
    <row r="6" spans="2:16" x14ac:dyDescent="0.25">
      <c r="B6" s="90" t="s">
        <v>4</v>
      </c>
      <c r="C6" s="90" t="s">
        <v>5</v>
      </c>
      <c r="D6" s="160" t="s">
        <v>103</v>
      </c>
      <c r="E6" s="160" t="s">
        <v>104</v>
      </c>
      <c r="F6" s="160" t="s">
        <v>105</v>
      </c>
      <c r="G6" s="143" t="s">
        <v>110</v>
      </c>
      <c r="I6" s="274"/>
    </row>
    <row r="7" spans="2:16" ht="30" x14ac:dyDescent="0.25">
      <c r="B7" s="148" t="s">
        <v>88</v>
      </c>
      <c r="C7" s="148" t="s">
        <v>109</v>
      </c>
      <c r="D7" s="150">
        <v>0</v>
      </c>
      <c r="E7" s="150">
        <v>0</v>
      </c>
      <c r="F7" s="150">
        <v>-27.774999999999999</v>
      </c>
      <c r="G7" s="1" t="s">
        <v>111</v>
      </c>
      <c r="I7" s="275"/>
      <c r="K7" s="207"/>
    </row>
    <row r="8" spans="2:16" ht="30" x14ac:dyDescent="0.25">
      <c r="B8" s="148" t="s">
        <v>88</v>
      </c>
      <c r="C8" s="148" t="s">
        <v>106</v>
      </c>
      <c r="D8" s="150">
        <v>0</v>
      </c>
      <c r="E8" s="150">
        <v>0</v>
      </c>
      <c r="F8" s="150">
        <v>-979.05</v>
      </c>
      <c r="G8" s="1" t="s">
        <v>113</v>
      </c>
      <c r="I8" s="275"/>
      <c r="K8" s="207"/>
    </row>
    <row r="9" spans="2:16" ht="30" x14ac:dyDescent="0.25">
      <c r="B9" s="148" t="s">
        <v>88</v>
      </c>
      <c r="C9" s="148" t="s">
        <v>107</v>
      </c>
      <c r="D9" s="150">
        <v>0</v>
      </c>
      <c r="E9" s="150">
        <v>-556.88</v>
      </c>
      <c r="F9" s="150">
        <f>F8</f>
        <v>-979.05</v>
      </c>
      <c r="G9" s="1" t="s">
        <v>115</v>
      </c>
      <c r="I9" s="228"/>
      <c r="K9" s="207"/>
    </row>
    <row r="10" spans="2:16" ht="45" x14ac:dyDescent="0.25">
      <c r="B10" s="148" t="s">
        <v>88</v>
      </c>
      <c r="C10" s="148" t="s">
        <v>108</v>
      </c>
      <c r="D10" s="150">
        <v>0</v>
      </c>
      <c r="E10" s="292">
        <v>597.5</v>
      </c>
      <c r="F10" s="150">
        <v>-926.548</v>
      </c>
      <c r="G10" s="1" t="s">
        <v>114</v>
      </c>
      <c r="I10" s="4"/>
      <c r="K10" s="207"/>
    </row>
    <row r="11" spans="2:16" ht="30" x14ac:dyDescent="0.25">
      <c r="B11" s="148" t="s">
        <v>88</v>
      </c>
      <c r="C11" s="148" t="s">
        <v>140</v>
      </c>
      <c r="D11" s="150">
        <v>0</v>
      </c>
      <c r="E11" s="150">
        <v>0</v>
      </c>
      <c r="F11" s="150">
        <v>-50</v>
      </c>
      <c r="G11" s="1" t="s">
        <v>112</v>
      </c>
      <c r="I11" s="228"/>
      <c r="K11" s="207"/>
      <c r="P11" s="207"/>
    </row>
    <row r="12" spans="2:16" ht="4.5" customHeight="1" x14ac:dyDescent="0.25">
      <c r="B12" s="148"/>
      <c r="C12" s="148"/>
      <c r="D12" s="150"/>
      <c r="E12" s="150"/>
      <c r="F12" s="150"/>
      <c r="G12" s="1"/>
      <c r="I12" s="228"/>
      <c r="K12" s="207"/>
      <c r="P12" s="207"/>
    </row>
    <row r="13" spans="2:16" ht="30" x14ac:dyDescent="0.25">
      <c r="B13" s="148" t="s">
        <v>216</v>
      </c>
      <c r="C13" s="148" t="s">
        <v>127</v>
      </c>
      <c r="D13" s="150"/>
      <c r="E13" s="150"/>
      <c r="F13" s="292">
        <v>-42.786000000000001</v>
      </c>
      <c r="G13" s="148" t="s">
        <v>398</v>
      </c>
      <c r="I13" s="276" t="s">
        <v>405</v>
      </c>
      <c r="K13" s="207"/>
    </row>
    <row r="14" spans="2:16" ht="30" x14ac:dyDescent="0.25">
      <c r="B14" s="148" t="s">
        <v>216</v>
      </c>
      <c r="C14" s="148" t="s">
        <v>217</v>
      </c>
      <c r="D14" s="150"/>
      <c r="E14" s="150"/>
      <c r="F14" s="150">
        <f>F19-F18</f>
        <v>217.37199999999996</v>
      </c>
      <c r="G14" s="148" t="s">
        <v>413</v>
      </c>
      <c r="I14" s="281" t="s">
        <v>419</v>
      </c>
      <c r="K14" s="207"/>
    </row>
    <row r="15" spans="2:16" ht="30" x14ac:dyDescent="0.25">
      <c r="B15" s="148" t="s">
        <v>217</v>
      </c>
      <c r="C15" s="148" t="s">
        <v>218</v>
      </c>
      <c r="D15" s="150"/>
      <c r="E15" s="150"/>
      <c r="F15" s="150">
        <v>96.51</v>
      </c>
      <c r="G15" s="148" t="s">
        <v>413</v>
      </c>
      <c r="I15" s="281" t="s">
        <v>420</v>
      </c>
      <c r="K15" s="207"/>
    </row>
    <row r="16" spans="2:16" x14ac:dyDescent="0.25">
      <c r="B16" s="148"/>
      <c r="C16" s="148"/>
      <c r="D16" s="150"/>
      <c r="E16" s="150"/>
      <c r="F16" s="150"/>
      <c r="G16" s="148"/>
      <c r="I16" s="228"/>
      <c r="K16" s="207"/>
    </row>
    <row r="17" spans="2:13" ht="45" x14ac:dyDescent="0.25">
      <c r="B17" s="148" t="s">
        <v>117</v>
      </c>
      <c r="C17" s="148" t="s">
        <v>313</v>
      </c>
      <c r="D17" s="150"/>
      <c r="E17" s="150"/>
      <c r="F17" s="339">
        <f>F18+F13</f>
        <v>-877.952</v>
      </c>
      <c r="G17" s="148"/>
      <c r="I17" s="240" t="s">
        <v>461</v>
      </c>
      <c r="K17" s="207"/>
      <c r="M17" s="207"/>
    </row>
    <row r="18" spans="2:13" ht="75" x14ac:dyDescent="0.25">
      <c r="B18" s="148" t="s">
        <v>117</v>
      </c>
      <c r="C18" s="148" t="s">
        <v>77</v>
      </c>
      <c r="D18" s="150"/>
      <c r="E18" s="150"/>
      <c r="F18" s="338">
        <f>-835.487+0.321</f>
        <v>-835.16599999999994</v>
      </c>
      <c r="G18" s="148" t="s">
        <v>441</v>
      </c>
      <c r="I18" s="240" t="s">
        <v>459</v>
      </c>
      <c r="K18" s="207"/>
    </row>
    <row r="19" spans="2:13" ht="60" x14ac:dyDescent="0.25">
      <c r="B19" s="148" t="s">
        <v>117</v>
      </c>
      <c r="C19" s="148" t="s">
        <v>118</v>
      </c>
      <c r="D19" s="150"/>
      <c r="E19" s="150"/>
      <c r="F19" s="339">
        <f>-618.115+0.321</f>
        <v>-617.79399999999998</v>
      </c>
      <c r="G19" s="148"/>
      <c r="I19" s="240" t="s">
        <v>460</v>
      </c>
      <c r="K19" s="207"/>
      <c r="M19" s="207"/>
    </row>
    <row r="20" spans="2:13" ht="30" x14ac:dyDescent="0.25">
      <c r="B20" s="148" t="s">
        <v>117</v>
      </c>
      <c r="C20" s="148" t="s">
        <v>129</v>
      </c>
      <c r="D20" s="150">
        <v>0</v>
      </c>
      <c r="E20" s="150">
        <v>0</v>
      </c>
      <c r="F20" s="305">
        <v>-910.04300000000001</v>
      </c>
      <c r="G20" s="1" t="s">
        <v>440</v>
      </c>
      <c r="I20" s="228"/>
      <c r="K20" s="207"/>
    </row>
    <row r="21" spans="2:13" x14ac:dyDescent="0.25">
      <c r="B21" s="148" t="s">
        <v>128</v>
      </c>
      <c r="C21" s="148" t="s">
        <v>122</v>
      </c>
      <c r="D21" s="150">
        <v>0</v>
      </c>
      <c r="E21" s="150">
        <v>0</v>
      </c>
      <c r="F21" s="305">
        <v>-56.73</v>
      </c>
      <c r="G21" s="1" t="s">
        <v>439</v>
      </c>
      <c r="I21" s="280"/>
      <c r="K21" s="207"/>
    </row>
    <row r="22" spans="2:13" ht="45" x14ac:dyDescent="0.25">
      <c r="B22" s="148" t="s">
        <v>129</v>
      </c>
      <c r="C22" s="148" t="s">
        <v>77</v>
      </c>
      <c r="D22" s="150"/>
      <c r="E22" s="150"/>
      <c r="F22" s="340">
        <f>F18-F20</f>
        <v>74.877000000000066</v>
      </c>
      <c r="G22" s="148" t="s">
        <v>473</v>
      </c>
      <c r="I22" s="236" t="s">
        <v>462</v>
      </c>
      <c r="K22" s="207"/>
    </row>
    <row r="23" spans="2:13" ht="60" x14ac:dyDescent="0.25">
      <c r="B23" s="148" t="s">
        <v>129</v>
      </c>
      <c r="C23" s="148" t="s">
        <v>313</v>
      </c>
      <c r="D23" s="150"/>
      <c r="E23" s="150"/>
      <c r="F23" s="340">
        <f>F17-F20</f>
        <v>32.091000000000008</v>
      </c>
      <c r="G23" s="148" t="s">
        <v>416</v>
      </c>
      <c r="I23" s="236" t="s">
        <v>463</v>
      </c>
      <c r="K23" s="207"/>
      <c r="M23" s="207"/>
    </row>
    <row r="24" spans="2:13" x14ac:dyDescent="0.25">
      <c r="B24" s="148"/>
      <c r="C24" s="148"/>
      <c r="D24" s="150"/>
      <c r="E24" s="150"/>
      <c r="F24" s="150"/>
      <c r="G24" s="1"/>
      <c r="I24" s="228"/>
      <c r="K24" s="207"/>
      <c r="M24" s="207"/>
    </row>
    <row r="25" spans="2:13" ht="30" x14ac:dyDescent="0.25">
      <c r="B25" s="148" t="s">
        <v>24</v>
      </c>
      <c r="C25" s="148" t="s">
        <v>123</v>
      </c>
      <c r="D25" s="150">
        <v>0</v>
      </c>
      <c r="E25" s="150">
        <v>0</v>
      </c>
      <c r="F25" s="339">
        <f>-958.95-0.371</f>
        <v>-959.32100000000003</v>
      </c>
      <c r="G25" s="1"/>
      <c r="I25" s="240" t="s">
        <v>495</v>
      </c>
      <c r="K25" s="207"/>
      <c r="M25" s="207"/>
    </row>
    <row r="26" spans="2:13" ht="30" x14ac:dyDescent="0.25">
      <c r="B26" s="148" t="s">
        <v>24</v>
      </c>
      <c r="C26" s="148" t="s">
        <v>124</v>
      </c>
      <c r="D26" s="150">
        <v>0</v>
      </c>
      <c r="E26" s="150">
        <v>0</v>
      </c>
      <c r="F26" s="339">
        <f>-464.078-0.371</f>
        <v>-464.44899999999996</v>
      </c>
      <c r="G26" s="1"/>
      <c r="I26" s="240" t="s">
        <v>474</v>
      </c>
      <c r="K26" s="207"/>
    </row>
    <row r="27" spans="2:13" x14ac:dyDescent="0.25">
      <c r="B27" s="148" t="s">
        <v>24</v>
      </c>
      <c r="C27" s="148" t="s">
        <v>119</v>
      </c>
      <c r="D27" s="150"/>
      <c r="E27" s="150"/>
      <c r="F27" s="150"/>
      <c r="G27" s="1"/>
      <c r="I27" s="228"/>
      <c r="L27" s="207"/>
    </row>
    <row r="28" spans="2:13" ht="30" x14ac:dyDescent="0.25">
      <c r="B28" s="148" t="s">
        <v>108</v>
      </c>
      <c r="C28" s="148" t="s">
        <v>120</v>
      </c>
      <c r="D28" s="150">
        <v>0</v>
      </c>
      <c r="E28" s="150">
        <v>-563.5</v>
      </c>
      <c r="F28" s="150">
        <v>-130.53</v>
      </c>
      <c r="G28" s="1"/>
      <c r="I28" s="228"/>
      <c r="K28" s="207"/>
    </row>
    <row r="29" spans="2:13" x14ac:dyDescent="0.25">
      <c r="B29" s="148" t="s">
        <v>120</v>
      </c>
      <c r="C29" s="148" t="s">
        <v>121</v>
      </c>
      <c r="D29" s="150">
        <v>0</v>
      </c>
      <c r="E29" s="150">
        <v>-34</v>
      </c>
      <c r="F29" s="150">
        <v>-9.4700000000000006</v>
      </c>
      <c r="G29" s="1"/>
      <c r="I29" s="228"/>
      <c r="K29" s="207"/>
    </row>
    <row r="30" spans="2:13" x14ac:dyDescent="0.25">
      <c r="D30" s="186"/>
      <c r="E30" s="186"/>
      <c r="F30" s="186"/>
      <c r="I30" s="228"/>
    </row>
    <row r="31" spans="2:13" ht="30" x14ac:dyDescent="0.25">
      <c r="B31" s="153" t="s">
        <v>125</v>
      </c>
      <c r="D31" s="293" t="s">
        <v>142</v>
      </c>
      <c r="E31" s="293" t="s">
        <v>141</v>
      </c>
      <c r="F31" s="293" t="s">
        <v>143</v>
      </c>
      <c r="I31" s="228"/>
    </row>
    <row r="32" spans="2:13" ht="30" x14ac:dyDescent="0.25">
      <c r="B32" s="311" t="s">
        <v>126</v>
      </c>
      <c r="C32" s="311" t="s">
        <v>123</v>
      </c>
      <c r="D32" s="337">
        <f>-1938-0.371</f>
        <v>-1938.3710000000001</v>
      </c>
      <c r="E32" s="318"/>
      <c r="F32" s="318">
        <f>F8+F25</f>
        <v>-1938.3710000000001</v>
      </c>
      <c r="G32" s="311"/>
      <c r="I32" s="240" t="s">
        <v>472</v>
      </c>
      <c r="J32" s="222"/>
      <c r="K32" s="207"/>
    </row>
    <row r="33" spans="2:11" x14ac:dyDescent="0.25">
      <c r="B33" s="311" t="s">
        <v>123</v>
      </c>
      <c r="C33" s="311" t="s">
        <v>124</v>
      </c>
      <c r="D33" s="318">
        <f>82.23+412.642</f>
        <v>494.87200000000001</v>
      </c>
      <c r="E33" s="318"/>
      <c r="F33" s="318">
        <f>(F8+F26)-(F8+F25)</f>
        <v>494.8720000000003</v>
      </c>
      <c r="G33" s="311"/>
      <c r="I33" s="228"/>
      <c r="J33" s="222"/>
      <c r="K33" s="207"/>
    </row>
    <row r="34" spans="2:11" ht="45" x14ac:dyDescent="0.25">
      <c r="B34" s="311" t="s">
        <v>123</v>
      </c>
      <c r="C34" s="1" t="s">
        <v>121</v>
      </c>
      <c r="D34" s="336">
        <f>871.452+0.371</f>
        <v>871.82299999999998</v>
      </c>
      <c r="E34" s="318">
        <f>E10+E28+E29</f>
        <v>0</v>
      </c>
      <c r="F34" s="318">
        <f>(F10+F28+F29) - (F8+F25)</f>
        <v>871.82300000000009</v>
      </c>
      <c r="G34" s="311"/>
      <c r="I34" s="240" t="s">
        <v>469</v>
      </c>
      <c r="J34" s="222"/>
      <c r="K34" s="207"/>
    </row>
    <row r="35" spans="2:11" x14ac:dyDescent="0.25">
      <c r="B35" s="311" t="s">
        <v>123</v>
      </c>
      <c r="C35" s="1" t="s">
        <v>119</v>
      </c>
      <c r="D35" s="318"/>
      <c r="E35" s="318"/>
      <c r="F35" s="318"/>
      <c r="G35" s="311"/>
      <c r="I35" s="228"/>
      <c r="J35" s="222"/>
      <c r="K35" s="207"/>
    </row>
    <row r="36" spans="2:11" ht="30" x14ac:dyDescent="0.25">
      <c r="B36" s="311" t="s">
        <v>123</v>
      </c>
      <c r="C36" s="1" t="s">
        <v>122</v>
      </c>
      <c r="D36" s="337">
        <f>943.452+0.371</f>
        <v>943.82299999999998</v>
      </c>
      <c r="E36" s="318"/>
      <c r="F36" s="318">
        <f>(F7+F20+F21) - (F8+F25)</f>
        <v>943.82300000000009</v>
      </c>
      <c r="G36" s="311"/>
      <c r="I36" s="240" t="s">
        <v>470</v>
      </c>
      <c r="J36" s="222"/>
      <c r="K36" s="207"/>
    </row>
    <row r="37" spans="2:11" ht="45" x14ac:dyDescent="0.25">
      <c r="B37" s="311" t="s">
        <v>123</v>
      </c>
      <c r="C37" s="1" t="s">
        <v>127</v>
      </c>
      <c r="D37" s="337">
        <f>1031.952+0.321+0.371</f>
        <v>1032.644</v>
      </c>
      <c r="E37" s="318"/>
      <c r="F37" s="318">
        <f>(F7+F18+F13) - (F8+F25)</f>
        <v>1032.6440000000002</v>
      </c>
      <c r="G37" s="311" t="s">
        <v>436</v>
      </c>
      <c r="I37" s="240" t="s">
        <v>471</v>
      </c>
      <c r="J37" s="222"/>
      <c r="K37" s="207"/>
    </row>
    <row r="38" spans="2:11" ht="30" x14ac:dyDescent="0.25">
      <c r="B38" s="311" t="s">
        <v>126</v>
      </c>
      <c r="C38" s="1" t="s">
        <v>127</v>
      </c>
      <c r="D38" s="336">
        <f>D32+D37</f>
        <v>-905.72700000000009</v>
      </c>
      <c r="E38" s="318"/>
      <c r="F38" s="318">
        <f>F18+F13+F7</f>
        <v>-905.72699999999998</v>
      </c>
      <c r="G38" s="311"/>
      <c r="I38" s="335" t="s">
        <v>457</v>
      </c>
      <c r="J38" s="222"/>
      <c r="K38" s="207"/>
    </row>
    <row r="39" spans="2:11" ht="30" x14ac:dyDescent="0.25">
      <c r="B39" s="1" t="s">
        <v>122</v>
      </c>
      <c r="C39" s="1" t="s">
        <v>127</v>
      </c>
      <c r="D39" s="336">
        <f>D37-D36</f>
        <v>88.821000000000026</v>
      </c>
      <c r="E39" s="318"/>
      <c r="F39" s="318">
        <f>F23-F21</f>
        <v>88.820999999999998</v>
      </c>
      <c r="G39" s="311"/>
      <c r="I39" s="335" t="s">
        <v>456</v>
      </c>
      <c r="J39" s="222"/>
      <c r="K39" s="207"/>
    </row>
    <row r="40" spans="2:11" x14ac:dyDescent="0.25">
      <c r="B40" s="311" t="s">
        <v>122</v>
      </c>
      <c r="C40" s="148" t="s">
        <v>445</v>
      </c>
      <c r="D40" s="320">
        <v>60</v>
      </c>
      <c r="E40" s="311"/>
      <c r="F40" s="311"/>
      <c r="G40" s="311" t="s">
        <v>446</v>
      </c>
      <c r="H40" s="310"/>
      <c r="I40" s="310"/>
      <c r="J40" s="321"/>
      <c r="K40" s="319"/>
    </row>
    <row r="41" spans="2:11" ht="30" x14ac:dyDescent="0.25">
      <c r="B41" s="311" t="s">
        <v>313</v>
      </c>
      <c r="C41" s="148" t="s">
        <v>445</v>
      </c>
      <c r="D41" s="336">
        <f>D40-D39</f>
        <v>-28.821000000000026</v>
      </c>
      <c r="E41" s="311"/>
      <c r="F41" s="325">
        <f>(F21+D40)-(F23)</f>
        <v>-28.821000000000005</v>
      </c>
      <c r="G41" s="311"/>
      <c r="H41" s="310"/>
      <c r="I41" s="335" t="s">
        <v>458</v>
      </c>
      <c r="J41" s="321"/>
      <c r="K41" s="319"/>
    </row>
    <row r="42" spans="2:11" ht="30" x14ac:dyDescent="0.25">
      <c r="B42" s="326" t="s">
        <v>467</v>
      </c>
      <c r="C42" s="148" t="s">
        <v>121</v>
      </c>
      <c r="D42" s="327">
        <f>346.58+0.371</f>
        <v>346.95099999999996</v>
      </c>
      <c r="E42" s="311"/>
      <c r="F42" s="325">
        <f>F34-F33-30</f>
        <v>346.95099999999979</v>
      </c>
      <c r="G42" s="311"/>
      <c r="I42" s="335" t="s">
        <v>468</v>
      </c>
    </row>
  </sheetData>
  <pageMargins left="0.5" right="0.25" top="0.5" bottom="0.5" header="0.25" footer="0.25"/>
  <pageSetup paperSize="17" scale="95" fitToWidth="0" fitToHeight="0" orientation="landscape" r:id="rId1"/>
  <headerFooter>
    <oddFooter>&amp;L&amp;F&amp;C&amp;A&amp;RPage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N62"/>
  <sheetViews>
    <sheetView showGridLines="0" zoomScaleNormal="100" zoomScalePageLayoutView="55" workbookViewId="0">
      <pane ySplit="7" topLeftCell="A8" activePane="bottomLeft" state="frozen"/>
      <selection pane="bottomLeft" activeCell="F13" sqref="F13"/>
    </sheetView>
  </sheetViews>
  <sheetFormatPr defaultRowHeight="15" x14ac:dyDescent="0.25"/>
  <cols>
    <col min="1" max="1" width="1.7109375" customWidth="1"/>
    <col min="2" max="2" width="36.85546875" customWidth="1"/>
    <col min="3" max="3" width="2.42578125" customWidth="1"/>
    <col min="4" max="8" width="13.7109375" customWidth="1"/>
    <col min="9" max="9" width="50.140625" style="228" customWidth="1"/>
    <col min="10" max="10" width="40.5703125" style="310" customWidth="1"/>
  </cols>
  <sheetData>
    <row r="2" spans="2:10" ht="18.75" x14ac:dyDescent="0.3">
      <c r="B2" s="80" t="s">
        <v>314</v>
      </c>
      <c r="C2" s="81"/>
      <c r="D2" s="81"/>
      <c r="E2" s="82" t="str">
        <f>'1.  Intro, Defs, Change Log'!D3</f>
        <v>LCA-10147-G</v>
      </c>
      <c r="F2" s="83"/>
      <c r="G2" s="83"/>
      <c r="H2" s="84" t="s">
        <v>434</v>
      </c>
      <c r="I2" s="294">
        <f>MAX('1.  Intro, Defs, Change Log'!$B:$B:'1.  Intro, Defs, Change Log'!$B:$B)</f>
        <v>43249</v>
      </c>
    </row>
    <row r="3" spans="2:10" x14ac:dyDescent="0.25">
      <c r="B3" s="86"/>
      <c r="C3" s="87"/>
      <c r="D3" s="87"/>
      <c r="E3" s="164"/>
      <c r="F3" s="87"/>
      <c r="G3" s="87"/>
      <c r="H3" s="88" t="s">
        <v>15</v>
      </c>
      <c r="I3" s="295">
        <f ca="1">NOW()</f>
        <v>43249.318045486114</v>
      </c>
    </row>
    <row r="4" spans="2:10" ht="8.25" customHeight="1" x14ac:dyDescent="0.25">
      <c r="B4" s="7"/>
    </row>
    <row r="5" spans="2:10" x14ac:dyDescent="0.25">
      <c r="B5" s="92"/>
      <c r="C5" s="277"/>
      <c r="D5" s="278" t="s">
        <v>322</v>
      </c>
      <c r="E5" s="278" t="s">
        <v>322</v>
      </c>
      <c r="F5" s="278" t="s">
        <v>322</v>
      </c>
      <c r="G5" s="277"/>
      <c r="H5" s="278" t="s">
        <v>322</v>
      </c>
      <c r="I5" s="296"/>
    </row>
    <row r="6" spans="2:10" x14ac:dyDescent="0.25">
      <c r="C6" s="93"/>
      <c r="D6" s="316" t="s">
        <v>315</v>
      </c>
      <c r="E6" s="223"/>
      <c r="F6" s="157"/>
      <c r="G6" s="158" t="s">
        <v>316</v>
      </c>
      <c r="H6" s="159"/>
      <c r="I6" s="224"/>
    </row>
    <row r="7" spans="2:10" ht="30" x14ac:dyDescent="0.25">
      <c r="B7" s="163"/>
      <c r="C7" s="225"/>
      <c r="D7" s="225" t="s">
        <v>403</v>
      </c>
      <c r="E7" s="225" t="s">
        <v>317</v>
      </c>
      <c r="F7" s="114" t="s">
        <v>318</v>
      </c>
      <c r="G7" s="114" t="s">
        <v>319</v>
      </c>
      <c r="H7" s="114" t="s">
        <v>320</v>
      </c>
      <c r="I7" s="163" t="s">
        <v>321</v>
      </c>
      <c r="J7" s="283" t="s">
        <v>350</v>
      </c>
    </row>
    <row r="8" spans="2:10" x14ac:dyDescent="0.25">
      <c r="B8" s="328" t="s">
        <v>450</v>
      </c>
      <c r="C8" s="329"/>
      <c r="D8" s="330"/>
      <c r="E8" s="329"/>
      <c r="F8" s="329"/>
      <c r="G8" s="329"/>
      <c r="H8" s="329"/>
      <c r="I8" s="331"/>
      <c r="J8" s="317"/>
    </row>
    <row r="9" spans="2:10" ht="15.75" thickBot="1" x14ac:dyDescent="0.3">
      <c r="B9" s="248" t="s">
        <v>367</v>
      </c>
      <c r="C9" s="247"/>
      <c r="D9" s="302">
        <f>SUM(D10:D14)</f>
        <v>42.795227406129939</v>
      </c>
      <c r="E9" s="303">
        <f>SUM(E10:E14)</f>
        <v>42.798000000000002</v>
      </c>
      <c r="F9" s="303">
        <f>SUM(F10:F14)</f>
        <v>42.795999999999999</v>
      </c>
      <c r="G9" s="247">
        <f>SUM(G10:G14)</f>
        <v>42.7988</v>
      </c>
      <c r="H9" s="303">
        <f>SUM(H10:H14)</f>
        <v>42.796499999999995</v>
      </c>
      <c r="I9" s="228" t="s">
        <v>437</v>
      </c>
    </row>
    <row r="10" spans="2:10" ht="15.75" thickBot="1" x14ac:dyDescent="0.3">
      <c r="B10" s="245" t="s">
        <v>323</v>
      </c>
      <c r="C10" s="261"/>
      <c r="D10" s="265">
        <v>29.795227406129939</v>
      </c>
      <c r="E10" s="262">
        <v>29.806000000000001</v>
      </c>
      <c r="F10" s="246">
        <v>27.81</v>
      </c>
      <c r="G10" s="246">
        <v>27.81</v>
      </c>
      <c r="H10" s="246">
        <v>27.81</v>
      </c>
      <c r="I10" s="297"/>
    </row>
    <row r="11" spans="2:10" ht="15.75" thickBot="1" x14ac:dyDescent="0.3">
      <c r="B11" s="245" t="s">
        <v>325</v>
      </c>
      <c r="C11" s="246"/>
      <c r="D11" s="264">
        <v>13</v>
      </c>
      <c r="E11" s="246">
        <v>12.992000000000001</v>
      </c>
      <c r="F11" s="263">
        <v>13</v>
      </c>
      <c r="G11" s="263">
        <v>12.992000000000001</v>
      </c>
      <c r="H11" s="246">
        <v>9.0020000000000007</v>
      </c>
      <c r="I11" s="297"/>
    </row>
    <row r="12" spans="2:10" ht="15.75" thickBot="1" x14ac:dyDescent="0.3">
      <c r="B12" s="245" t="s">
        <v>324</v>
      </c>
      <c r="C12" s="246"/>
      <c r="D12" s="246"/>
      <c r="E12" s="261"/>
      <c r="F12" s="265">
        <v>1.986</v>
      </c>
      <c r="G12" s="265">
        <v>1.9967999999999999</v>
      </c>
      <c r="H12" s="262"/>
      <c r="I12" s="297" t="s">
        <v>370</v>
      </c>
    </row>
    <row r="13" spans="2:10" ht="15.75" thickBot="1" x14ac:dyDescent="0.3">
      <c r="B13" s="245" t="s">
        <v>361</v>
      </c>
      <c r="C13" s="246"/>
      <c r="D13" s="246"/>
      <c r="E13" s="246"/>
      <c r="F13" s="264"/>
      <c r="G13" s="264"/>
      <c r="H13" s="265">
        <v>4.4844999999999997</v>
      </c>
      <c r="I13" s="297" t="s">
        <v>369</v>
      </c>
    </row>
    <row r="14" spans="2:10" x14ac:dyDescent="0.25">
      <c r="B14" s="245" t="s">
        <v>362</v>
      </c>
      <c r="C14" s="246"/>
      <c r="D14" s="246"/>
      <c r="E14" s="246"/>
      <c r="F14" s="246"/>
      <c r="G14" s="246"/>
      <c r="H14" s="246">
        <f>3/2</f>
        <v>1.5</v>
      </c>
      <c r="I14" s="297" t="s">
        <v>397</v>
      </c>
    </row>
    <row r="15" spans="2:10" x14ac:dyDescent="0.25">
      <c r="B15" s="254"/>
      <c r="C15" s="255"/>
      <c r="D15" s="255"/>
      <c r="E15" s="255"/>
      <c r="F15" s="255"/>
      <c r="G15" s="255"/>
      <c r="H15" s="255"/>
      <c r="I15" s="297"/>
    </row>
    <row r="16" spans="2:10" ht="15.75" thickBot="1" x14ac:dyDescent="0.3">
      <c r="B16" s="254" t="s">
        <v>379</v>
      </c>
      <c r="C16" s="255"/>
      <c r="D16" s="255">
        <f>4*SQRT(2)</f>
        <v>5.6568542494923806</v>
      </c>
      <c r="E16" s="255">
        <f>4*SQRT(2)</f>
        <v>5.6568542494923806</v>
      </c>
      <c r="F16" s="255">
        <f>4*SQRT(2)</f>
        <v>5.6568542494923806</v>
      </c>
      <c r="G16" s="255">
        <f>4*SQRT(2)</f>
        <v>5.6568542494923806</v>
      </c>
      <c r="H16" s="255">
        <f>4*SQRT(2)</f>
        <v>5.6568542494923806</v>
      </c>
      <c r="I16" s="297" t="s">
        <v>380</v>
      </c>
    </row>
    <row r="17" spans="2:10" ht="15.75" thickBot="1" x14ac:dyDescent="0.3">
      <c r="B17" s="258" t="s">
        <v>386</v>
      </c>
      <c r="C17" s="259"/>
      <c r="D17" s="259">
        <v>8</v>
      </c>
      <c r="E17" s="259">
        <v>8</v>
      </c>
      <c r="F17" s="259">
        <v>8</v>
      </c>
      <c r="G17" s="259">
        <v>8</v>
      </c>
      <c r="H17" s="260">
        <v>8</v>
      </c>
      <c r="I17" s="298"/>
    </row>
    <row r="18" spans="2:10" x14ac:dyDescent="0.25">
      <c r="B18" s="256" t="s">
        <v>384</v>
      </c>
      <c r="C18" s="257"/>
      <c r="D18" s="257">
        <f>(D17-8)*SQRT(2)/2</f>
        <v>0</v>
      </c>
      <c r="E18" s="257">
        <f>(E17-8)*SQRT(2)/2</f>
        <v>0</v>
      </c>
      <c r="F18" s="257">
        <f>(F17-8)*SQRT(2)/2</f>
        <v>0</v>
      </c>
      <c r="G18" s="257">
        <f>(G17-8)*SQRT(2)/2</f>
        <v>0</v>
      </c>
      <c r="H18" s="257">
        <f>(H17-8)*SQRT(2)/2</f>
        <v>0</v>
      </c>
      <c r="I18" s="297" t="s">
        <v>394</v>
      </c>
    </row>
    <row r="19" spans="2:10" ht="30" x14ac:dyDescent="0.25">
      <c r="B19" s="251" t="s">
        <v>368</v>
      </c>
      <c r="C19" s="252"/>
      <c r="D19" s="252">
        <f>D9+D18</f>
        <v>42.795227406129939</v>
      </c>
      <c r="E19" s="252">
        <f>E9+E18</f>
        <v>42.798000000000002</v>
      </c>
      <c r="F19" s="252">
        <f>F9+F18</f>
        <v>42.795999999999999</v>
      </c>
      <c r="G19" s="252">
        <f>G9+G18</f>
        <v>42.7988</v>
      </c>
      <c r="H19" s="252">
        <f>H9+H18</f>
        <v>42.796499999999995</v>
      </c>
      <c r="I19" s="1" t="s">
        <v>447</v>
      </c>
    </row>
    <row r="20" spans="2:10" x14ac:dyDescent="0.25">
      <c r="B20" s="251"/>
      <c r="C20" s="252"/>
      <c r="D20" s="252"/>
      <c r="E20" s="252"/>
      <c r="F20" s="252"/>
      <c r="G20" s="252"/>
      <c r="H20" s="252"/>
      <c r="I20" s="297"/>
    </row>
    <row r="21" spans="2:10" x14ac:dyDescent="0.25">
      <c r="B21" s="249" t="str">
        <f xml:space="preserve"> "RSA shrinkage down to "&amp; FIXED(D$55,0)&amp; " C"</f>
        <v>RSA shrinkage down to -100 C</v>
      </c>
      <c r="C21" s="250"/>
      <c r="D21" s="250">
        <f>SUM(D22:D26)</f>
        <v>-1.0782259116477989E-2</v>
      </c>
      <c r="E21" s="250">
        <f>SUM(E22:E26)</f>
        <v>-1.3584107693586089E-2</v>
      </c>
      <c r="F21" s="250">
        <f>SUM(F22:F26)</f>
        <v>-1.1441594093586093E-2</v>
      </c>
      <c r="G21" s="250">
        <f>SUM(G22:G26)</f>
        <v>-1.424159409358609E-2</v>
      </c>
      <c r="H21" s="250">
        <f>SUM(H22:H26)</f>
        <v>-1.2041594093586089E-2</v>
      </c>
      <c r="I21" s="297"/>
    </row>
    <row r="22" spans="2:10" x14ac:dyDescent="0.25">
      <c r="B22" s="245" t="s">
        <v>363</v>
      </c>
      <c r="C22" s="268"/>
      <c r="D22" s="268">
        <f>(D10-D16)*$D$57*($D$55-$D$54)</f>
        <v>-4.1421448336790056E-3</v>
      </c>
      <c r="E22" s="268">
        <f>(E10-E16)*$D$57*($D$55-$D$54)</f>
        <v>-4.1439934107871078E-3</v>
      </c>
      <c r="F22" s="268">
        <f>(F10-F16)*$D$57*($D$55-$D$54)</f>
        <v>-3.8014798107871076E-3</v>
      </c>
      <c r="G22" s="268">
        <f>(G10-G16)*$D$57*($D$55-$D$54)</f>
        <v>-3.8014798107871076E-3</v>
      </c>
      <c r="H22" s="268">
        <f>(H10-H16)*$D$57*($D$55-$D$54)</f>
        <v>-3.8014798107871076E-3</v>
      </c>
      <c r="I22" s="297" t="s">
        <v>372</v>
      </c>
    </row>
    <row r="23" spans="2:10" x14ac:dyDescent="0.25">
      <c r="B23" s="245" t="s">
        <v>364</v>
      </c>
      <c r="C23" s="268"/>
      <c r="D23" s="268">
        <v>-4.4000000000000003E-3</v>
      </c>
      <c r="E23" s="268">
        <v>-7.1999999999999998E-3</v>
      </c>
      <c r="F23" s="268">
        <v>-4.4000000000000003E-3</v>
      </c>
      <c r="G23" s="268">
        <v>-7.1999999999999998E-3</v>
      </c>
      <c r="H23" s="268">
        <v>-5.3E-3</v>
      </c>
      <c r="I23" s="297" t="s">
        <v>395</v>
      </c>
    </row>
    <row r="24" spans="2:10" x14ac:dyDescent="0.25">
      <c r="B24" s="245" t="s">
        <v>366</v>
      </c>
      <c r="C24" s="268"/>
      <c r="D24" s="268"/>
      <c r="E24" s="268"/>
      <c r="F24" s="268">
        <v>-1E-3</v>
      </c>
      <c r="G24" s="268">
        <v>-1E-3</v>
      </c>
      <c r="H24" s="268"/>
      <c r="I24" s="297"/>
    </row>
    <row r="25" spans="2:10" x14ac:dyDescent="0.25">
      <c r="B25" s="245" t="s">
        <v>365</v>
      </c>
      <c r="C25" s="268"/>
      <c r="D25" s="268"/>
      <c r="E25" s="268"/>
      <c r="F25" s="268"/>
      <c r="G25" s="268"/>
      <c r="H25" s="268">
        <v>-6.9999999999999999E-4</v>
      </c>
      <c r="I25" s="297"/>
    </row>
    <row r="26" spans="2:10" x14ac:dyDescent="0.25">
      <c r="B26" s="245" t="s">
        <v>385</v>
      </c>
      <c r="C26" s="268"/>
      <c r="D26" s="268">
        <f>(D$17*SQRT(2)/2)*$D$59*($D$55-$D$54)</f>
        <v>-2.2401142827989827E-3</v>
      </c>
      <c r="E26" s="268">
        <f>(E$17*SQRT(2)/2)*$D$59*($D$55-$D$54)</f>
        <v>-2.2401142827989827E-3</v>
      </c>
      <c r="F26" s="268">
        <f>(F$17*SQRT(2)/2)*$D$59*($D$55-$D$54)</f>
        <v>-2.2401142827989827E-3</v>
      </c>
      <c r="G26" s="268">
        <f>(G$17*SQRT(2)/2)*$D$59*($D$55-$D$54)</f>
        <v>-2.2401142827989827E-3</v>
      </c>
      <c r="H26" s="268">
        <f>(H$17*SQRT(2)/2)*$D$59*($D$55-$D$54)</f>
        <v>-2.2401142827989827E-3</v>
      </c>
      <c r="I26" s="297" t="s">
        <v>396</v>
      </c>
    </row>
    <row r="27" spans="2:10" x14ac:dyDescent="0.25">
      <c r="B27" s="1"/>
      <c r="C27" s="269"/>
      <c r="D27" s="269"/>
      <c r="E27" s="269"/>
      <c r="F27" s="269"/>
      <c r="G27" s="269"/>
      <c r="H27" s="269"/>
      <c r="I27" s="297"/>
    </row>
    <row r="28" spans="2:10" x14ac:dyDescent="0.25">
      <c r="B28" s="1" t="s">
        <v>402</v>
      </c>
      <c r="C28" s="269"/>
      <c r="D28" s="269"/>
      <c r="E28" s="269"/>
      <c r="F28" s="269"/>
      <c r="G28" s="269"/>
      <c r="H28" s="269"/>
      <c r="I28" s="297"/>
    </row>
    <row r="29" spans="2:10" ht="30" x14ac:dyDescent="0.25">
      <c r="B29" s="249" t="s">
        <v>387</v>
      </c>
      <c r="C29" s="269"/>
      <c r="D29" s="300">
        <f>D19+D21</f>
        <v>42.784445147013464</v>
      </c>
      <c r="E29" s="300">
        <f>E19+E21</f>
        <v>42.784415892306413</v>
      </c>
      <c r="F29" s="300">
        <f>F19+F21</f>
        <v>42.784558405906417</v>
      </c>
      <c r="G29" s="269">
        <f>G19+G21</f>
        <v>42.784558405906417</v>
      </c>
      <c r="H29" s="300">
        <f>H19+H21</f>
        <v>42.784458405906406</v>
      </c>
      <c r="I29" s="299" t="s">
        <v>413</v>
      </c>
    </row>
    <row r="30" spans="2:10" x14ac:dyDescent="0.25">
      <c r="B30" s="249"/>
      <c r="C30" s="269"/>
      <c r="D30" s="269"/>
      <c r="E30" s="269"/>
      <c r="F30" s="269"/>
      <c r="G30" s="269"/>
      <c r="H30" s="269"/>
      <c r="I30" s="297"/>
    </row>
    <row r="31" spans="2:10" x14ac:dyDescent="0.25">
      <c r="B31" s="332" t="s">
        <v>449</v>
      </c>
      <c r="C31" s="333"/>
      <c r="D31" s="333"/>
      <c r="E31" s="333"/>
      <c r="F31" s="333"/>
      <c r="G31" s="333"/>
      <c r="H31" s="333"/>
      <c r="I31" s="334"/>
    </row>
    <row r="32" spans="2:10" ht="45" x14ac:dyDescent="0.25">
      <c r="B32" s="251" t="s">
        <v>422</v>
      </c>
      <c r="C32" s="309"/>
      <c r="D32" s="323">
        <v>101.992</v>
      </c>
      <c r="E32" s="323">
        <v>101.992</v>
      </c>
      <c r="F32" s="323">
        <v>101.992</v>
      </c>
      <c r="G32" s="323">
        <v>101.992</v>
      </c>
      <c r="H32" s="323">
        <v>101.992</v>
      </c>
      <c r="I32" s="324" t="s">
        <v>448</v>
      </c>
      <c r="J32" s="322" t="s">
        <v>454</v>
      </c>
    </row>
    <row r="33" spans="1:14" ht="30" x14ac:dyDescent="0.25">
      <c r="B33" s="251" t="s">
        <v>423</v>
      </c>
      <c r="C33" s="252"/>
      <c r="D33" s="306">
        <f>D32+D18</f>
        <v>101.992</v>
      </c>
      <c r="E33" s="252">
        <f>E32+E18</f>
        <v>101.992</v>
      </c>
      <c r="F33" s="252">
        <f>F32+F18</f>
        <v>101.992</v>
      </c>
      <c r="G33" s="252">
        <f>G32+G18</f>
        <v>101.992</v>
      </c>
      <c r="H33" s="252">
        <f>H32+H18</f>
        <v>101.992</v>
      </c>
      <c r="I33" s="297"/>
      <c r="K33" s="304"/>
    </row>
    <row r="34" spans="1:14" x14ac:dyDescent="0.25">
      <c r="B34" s="251" t="s">
        <v>371</v>
      </c>
      <c r="C34" s="252"/>
      <c r="D34" s="252">
        <f>D19+D33</f>
        <v>144.78722740612994</v>
      </c>
      <c r="E34" s="252">
        <f>E19+E33</f>
        <v>144.79000000000002</v>
      </c>
      <c r="F34" s="252">
        <f>F19+F33</f>
        <v>144.78800000000001</v>
      </c>
      <c r="G34" s="252">
        <f>G19+G33</f>
        <v>144.79079999999999</v>
      </c>
      <c r="H34" s="252">
        <f>H19+H33</f>
        <v>144.7885</v>
      </c>
      <c r="I34" s="251" t="s">
        <v>447</v>
      </c>
    </row>
    <row r="35" spans="1:14" x14ac:dyDescent="0.25">
      <c r="B35" s="1"/>
      <c r="C35" s="226"/>
      <c r="D35" s="226"/>
      <c r="E35" s="226"/>
      <c r="F35" s="226"/>
      <c r="G35" s="226"/>
      <c r="H35" s="226"/>
      <c r="I35" s="297"/>
    </row>
    <row r="36" spans="1:14" x14ac:dyDescent="0.25">
      <c r="B36" s="249" t="str">
        <f xml:space="preserve"> "Grid shrinkage down to "&amp; FIXED(D$56,0)&amp; " C"</f>
        <v>Grid shrinkage down to -120 C</v>
      </c>
      <c r="C36" s="270"/>
      <c r="D36" s="270">
        <f>SUM(D37:D38)</f>
        <v>-2.1899762842517104E-2</v>
      </c>
      <c r="E36" s="270">
        <f>SUM(E37:E38)</f>
        <v>-2.1899762842517104E-2</v>
      </c>
      <c r="F36" s="270">
        <f>SUM(F37:F38)</f>
        <v>-2.1899762842517104E-2</v>
      </c>
      <c r="G36" s="270">
        <f>SUM(G37:G38)</f>
        <v>-2.1899762842517104E-2</v>
      </c>
      <c r="H36" s="270">
        <f>SUM(H37:H38)</f>
        <v>-2.1899762842517104E-2</v>
      </c>
      <c r="I36" s="297"/>
    </row>
    <row r="37" spans="1:14" x14ac:dyDescent="0.25">
      <c r="B37" s="245" t="s">
        <v>391</v>
      </c>
      <c r="C37" s="268"/>
      <c r="D37" s="268">
        <f>(D33-D$17*SQRT(2)/2)*$D$57*($D$56-$D$54)</f>
        <v>-1.9286296179251625E-2</v>
      </c>
      <c r="E37" s="268">
        <f>(E33-E$17*SQRT(2)/2)*$D$57*($D$56-$D$54)</f>
        <v>-1.9286296179251625E-2</v>
      </c>
      <c r="F37" s="268">
        <f>(F33-F$17*SQRT(2)/2)*$D$57*($D$56-$D$54)</f>
        <v>-1.9286296179251625E-2</v>
      </c>
      <c r="G37" s="268">
        <f>(G33-G$17*SQRT(2)/2)*$D$57*($D$56-$D$54)</f>
        <v>-1.9286296179251625E-2</v>
      </c>
      <c r="H37" s="268">
        <f>(H33-H$17*SQRT(2)/2)*$D$57*($D$56-$D$54)</f>
        <v>-1.9286296179251625E-2</v>
      </c>
      <c r="I37" s="297" t="s">
        <v>390</v>
      </c>
    </row>
    <row r="38" spans="1:14" x14ac:dyDescent="0.25">
      <c r="B38" s="245" t="s">
        <v>385</v>
      </c>
      <c r="C38" s="268"/>
      <c r="D38" s="268">
        <f>(D$17*SQRT(2)/2)*$D$59*($D$56-$D$54)</f>
        <v>-2.6134666632654799E-3</v>
      </c>
      <c r="E38" s="268">
        <f>(E$17*SQRT(2)/2)*$D$59*($D$56-$D$54)</f>
        <v>-2.6134666632654799E-3</v>
      </c>
      <c r="F38" s="268">
        <f>(F$17*SQRT(2)/2)*$D$59*($D$56-$D$54)</f>
        <v>-2.6134666632654799E-3</v>
      </c>
      <c r="G38" s="268">
        <f>(G$17*SQRT(2)/2)*$D$59*($D$56-$D$54)</f>
        <v>-2.6134666632654799E-3</v>
      </c>
      <c r="H38" s="268">
        <f>(H$17*SQRT(2)/2)*$D$59*($D$56-$D$54)</f>
        <v>-2.6134666632654799E-3</v>
      </c>
      <c r="I38" s="297"/>
    </row>
    <row r="39" spans="1:14" x14ac:dyDescent="0.25">
      <c r="B39" s="251"/>
      <c r="C39" s="226"/>
      <c r="D39" s="226"/>
      <c r="E39" s="226"/>
      <c r="F39" s="226"/>
      <c r="G39" s="226"/>
      <c r="H39" s="226"/>
      <c r="I39" s="297"/>
    </row>
    <row r="40" spans="1:14" ht="30" x14ac:dyDescent="0.25">
      <c r="B40" s="266" t="s">
        <v>393</v>
      </c>
      <c r="C40" s="267"/>
      <c r="D40" s="267">
        <f>D19+D33+D21+D36</f>
        <v>144.75454538417097</v>
      </c>
      <c r="E40" s="267">
        <f>E19+E33+E21+E36</f>
        <v>144.75451612946392</v>
      </c>
      <c r="F40" s="267">
        <f>F19+F33+F21+F36</f>
        <v>144.75465864306392</v>
      </c>
      <c r="G40" s="267">
        <f>G19+G33+G21+G36</f>
        <v>144.75465864306389</v>
      </c>
      <c r="H40" s="267">
        <f>H19+H33+H21+H36</f>
        <v>144.75455864306392</v>
      </c>
      <c r="I40" s="297"/>
    </row>
    <row r="41" spans="1:14" ht="30" x14ac:dyDescent="0.25">
      <c r="B41" s="249" t="s">
        <v>392</v>
      </c>
      <c r="C41" s="227"/>
      <c r="D41" s="227">
        <f>D21+D36</f>
        <v>-3.2682021958995097E-2</v>
      </c>
      <c r="E41" s="227">
        <f>E21+E36</f>
        <v>-3.548387053610319E-2</v>
      </c>
      <c r="F41" s="227">
        <f>F21+F36</f>
        <v>-3.3341356936103198E-2</v>
      </c>
      <c r="G41" s="227">
        <f>G21+G36</f>
        <v>-3.6141356936103194E-2</v>
      </c>
      <c r="H41" s="227">
        <f>H21+H36</f>
        <v>-3.3941356936103194E-2</v>
      </c>
      <c r="I41" s="1"/>
    </row>
    <row r="42" spans="1:14" ht="30" x14ac:dyDescent="0.25">
      <c r="A42" s="301"/>
      <c r="B42" s="251" t="s">
        <v>424</v>
      </c>
      <c r="C42" s="252"/>
      <c r="D42" s="284">
        <f>D33+D36</f>
        <v>101.97010023715748</v>
      </c>
      <c r="E42" s="285"/>
      <c r="F42" s="285"/>
      <c r="G42" s="285"/>
      <c r="H42" s="286"/>
      <c r="I42" s="251"/>
      <c r="J42" s="282" t="s">
        <v>426</v>
      </c>
    </row>
    <row r="43" spans="1:14" x14ac:dyDescent="0.25">
      <c r="B43" s="249"/>
      <c r="C43" s="227"/>
      <c r="D43" s="227"/>
      <c r="E43" s="227"/>
      <c r="F43" s="227"/>
      <c r="G43" s="227"/>
      <c r="H43" s="227"/>
      <c r="I43" s="1"/>
    </row>
    <row r="44" spans="1:14" x14ac:dyDescent="0.25">
      <c r="B44" s="332" t="s">
        <v>451</v>
      </c>
      <c r="C44" s="333"/>
      <c r="D44" s="333"/>
      <c r="E44" s="333"/>
      <c r="F44" s="333"/>
      <c r="G44" s="333"/>
      <c r="H44" s="333"/>
      <c r="I44" s="334"/>
    </row>
    <row r="45" spans="1:14" ht="30" x14ac:dyDescent="0.25">
      <c r="A45" s="301"/>
      <c r="B45" s="251" t="s">
        <v>428</v>
      </c>
      <c r="C45" s="252"/>
      <c r="D45" s="342">
        <f>D47-D33</f>
        <v>74.91284538417095</v>
      </c>
      <c r="E45" s="285"/>
      <c r="F45" s="285"/>
      <c r="G45" s="285"/>
      <c r="H45" s="286"/>
      <c r="I45" s="251" t="s">
        <v>447</v>
      </c>
      <c r="J45" s="282" t="s">
        <v>429</v>
      </c>
      <c r="L45" s="207"/>
    </row>
    <row r="46" spans="1:14" ht="30" x14ac:dyDescent="0.25">
      <c r="A46" s="301"/>
      <c r="B46" s="251" t="s">
        <v>414</v>
      </c>
      <c r="C46" s="252"/>
      <c r="D46" s="288">
        <f>$D47-D34</f>
        <v>32.117617978041011</v>
      </c>
      <c r="E46" s="288">
        <f>$D47-E34</f>
        <v>32.114845384170934</v>
      </c>
      <c r="F46" s="308">
        <f>$D47-F34</f>
        <v>32.116845384170944</v>
      </c>
      <c r="G46" s="252"/>
      <c r="H46" s="288">
        <f>$D47-H34</f>
        <v>32.116345384170955</v>
      </c>
      <c r="I46" s="251" t="s">
        <v>447</v>
      </c>
      <c r="J46" s="282" t="s">
        <v>430</v>
      </c>
      <c r="L46" s="207"/>
    </row>
    <row r="47" spans="1:14" ht="30" x14ac:dyDescent="0.25">
      <c r="A47" s="301"/>
      <c r="B47" s="251" t="s">
        <v>443</v>
      </c>
      <c r="C47" s="252"/>
      <c r="D47" s="288">
        <f>D50-D49</f>
        <v>176.90484538417095</v>
      </c>
      <c r="E47" s="285"/>
      <c r="F47" s="285"/>
      <c r="G47" s="285"/>
      <c r="H47" s="286"/>
      <c r="I47" s="251" t="s">
        <v>452</v>
      </c>
      <c r="J47" s="282" t="s">
        <v>427</v>
      </c>
      <c r="L47" s="207"/>
      <c r="N47" s="207"/>
    </row>
    <row r="48" spans="1:14" x14ac:dyDescent="0.25">
      <c r="B48" s="251"/>
      <c r="C48" s="252"/>
      <c r="D48" s="287"/>
      <c r="E48" s="285"/>
      <c r="F48" s="285"/>
      <c r="G48" s="285"/>
      <c r="H48" s="286"/>
      <c r="I48" s="251"/>
      <c r="J48" s="282"/>
    </row>
    <row r="49" spans="1:12" ht="45" x14ac:dyDescent="0.25">
      <c r="A49" s="301"/>
      <c r="B49" s="251" t="s">
        <v>433</v>
      </c>
      <c r="C49" s="252"/>
      <c r="D49" s="287">
        <v>-5.9299999999999999E-2</v>
      </c>
      <c r="E49" s="285"/>
      <c r="F49" s="285"/>
      <c r="G49" s="285"/>
      <c r="H49" s="286"/>
      <c r="I49" s="307" t="s">
        <v>442</v>
      </c>
      <c r="J49" s="282" t="s">
        <v>429</v>
      </c>
      <c r="L49" s="207"/>
    </row>
    <row r="50" spans="1:12" ht="30" x14ac:dyDescent="0.25">
      <c r="A50" s="301"/>
      <c r="B50" s="251" t="s">
        <v>444</v>
      </c>
      <c r="C50" s="252"/>
      <c r="D50" s="284">
        <f>D42+D51</f>
        <v>176.84554538417095</v>
      </c>
      <c r="E50" s="285"/>
      <c r="F50" s="285"/>
      <c r="G50" s="285"/>
      <c r="H50" s="286"/>
      <c r="I50" s="251"/>
      <c r="J50" s="282" t="s">
        <v>421</v>
      </c>
      <c r="L50" s="207"/>
    </row>
    <row r="51" spans="1:12" ht="30" x14ac:dyDescent="0.25">
      <c r="A51" s="301"/>
      <c r="B51" s="249" t="s">
        <v>425</v>
      </c>
      <c r="C51" s="250"/>
      <c r="D51" s="288">
        <f>D29+D52</f>
        <v>74.875445147013465</v>
      </c>
      <c r="E51" s="289"/>
      <c r="F51" s="289"/>
      <c r="G51" s="289"/>
      <c r="H51" s="290"/>
      <c r="I51" s="251"/>
      <c r="J51" s="282" t="s">
        <v>426</v>
      </c>
      <c r="L51" s="207"/>
    </row>
    <row r="52" spans="1:12" ht="60" x14ac:dyDescent="0.25">
      <c r="A52" s="301"/>
      <c r="B52" s="251" t="s">
        <v>415</v>
      </c>
      <c r="C52" s="252"/>
      <c r="D52" s="341">
        <f>'5. Key Interface Dimensions'!F23</f>
        <v>32.091000000000008</v>
      </c>
      <c r="E52" s="285"/>
      <c r="F52" s="285"/>
      <c r="G52" s="285"/>
      <c r="H52" s="286"/>
      <c r="I52" s="251"/>
      <c r="J52" s="236" t="s">
        <v>464</v>
      </c>
      <c r="L52" s="207"/>
    </row>
    <row r="53" spans="1:12" x14ac:dyDescent="0.25">
      <c r="C53" s="228"/>
      <c r="D53" s="228"/>
      <c r="E53" s="228"/>
      <c r="F53" s="228"/>
      <c r="G53" s="228"/>
      <c r="H53" s="228"/>
    </row>
    <row r="54" spans="1:12" x14ac:dyDescent="0.25">
      <c r="B54" s="162" t="s">
        <v>381</v>
      </c>
      <c r="D54" s="162">
        <v>20</v>
      </c>
      <c r="E54" s="162" t="s">
        <v>382</v>
      </c>
      <c r="F54" s="272"/>
      <c r="G54" s="273"/>
      <c r="H54" s="253"/>
    </row>
    <row r="55" spans="1:12" x14ac:dyDescent="0.25">
      <c r="B55" s="162" t="s">
        <v>388</v>
      </c>
      <c r="D55" s="162">
        <v>-100</v>
      </c>
      <c r="E55" s="162" t="s">
        <v>382</v>
      </c>
      <c r="F55" s="272"/>
      <c r="G55" s="273"/>
      <c r="H55" s="253"/>
    </row>
    <row r="56" spans="1:12" x14ac:dyDescent="0.25">
      <c r="B56" s="162" t="s">
        <v>389</v>
      </c>
      <c r="D56" s="162">
        <v>-120</v>
      </c>
      <c r="E56" s="162" t="s">
        <v>382</v>
      </c>
      <c r="F56" s="272"/>
      <c r="G56" s="273"/>
      <c r="H56" s="253"/>
    </row>
    <row r="57" spans="1:12" ht="45" x14ac:dyDescent="0.25">
      <c r="B57" s="311" t="s">
        <v>373</v>
      </c>
      <c r="D57" s="312">
        <v>1.4300000000000001E-6</v>
      </c>
      <c r="E57" s="311" t="s">
        <v>374</v>
      </c>
      <c r="F57" s="313" t="s">
        <v>375</v>
      </c>
      <c r="G57" s="314"/>
      <c r="H57" s="315"/>
      <c r="I57" s="4" t="s">
        <v>438</v>
      </c>
      <c r="J57" s="236" t="s">
        <v>465</v>
      </c>
    </row>
    <row r="58" spans="1:12" x14ac:dyDescent="0.25">
      <c r="B58" s="162" t="s">
        <v>377</v>
      </c>
      <c r="D58" s="271">
        <v>3.8999999999999999E-6</v>
      </c>
      <c r="E58" s="162" t="s">
        <v>374</v>
      </c>
      <c r="F58" s="272" t="s">
        <v>376</v>
      </c>
      <c r="G58" s="273"/>
      <c r="H58" s="253"/>
    </row>
    <row r="59" spans="1:12" x14ac:dyDescent="0.25">
      <c r="B59" s="162" t="s">
        <v>378</v>
      </c>
      <c r="D59" s="271">
        <v>3.3000000000000002E-6</v>
      </c>
      <c r="E59" s="162" t="s">
        <v>374</v>
      </c>
      <c r="F59" s="162" t="s">
        <v>383</v>
      </c>
      <c r="G59" s="162"/>
      <c r="H59" s="162"/>
    </row>
    <row r="60" spans="1:12" x14ac:dyDescent="0.25">
      <c r="B60" s="162" t="s">
        <v>431</v>
      </c>
      <c r="D60" s="271">
        <v>8.6000000000000007E-6</v>
      </c>
      <c r="E60" s="162" t="s">
        <v>374</v>
      </c>
      <c r="F60" s="162" t="s">
        <v>432</v>
      </c>
      <c r="G60" s="162"/>
      <c r="H60" s="162"/>
    </row>
    <row r="62" spans="1:12" x14ac:dyDescent="0.25">
      <c r="D62" s="291"/>
    </row>
  </sheetData>
  <pageMargins left="0.5" right="0.5" top="0.5" bottom="0.5" header="0.25" footer="0.25"/>
  <pageSetup paperSize="17" orientation="landscape" r:id="rId1"/>
  <headerFooter>
    <oddFooter>&amp;L&amp;F&amp;C&amp;A&amp;RPage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Intro, Defs, Change Log</vt:lpstr>
      <vt:lpstr>2. Alignment Summary</vt:lpstr>
      <vt:lpstr>3. Ass'y, Alignment Stack-ups</vt:lpstr>
      <vt:lpstr>4. Constituent Tolerances</vt:lpstr>
      <vt:lpstr>5. Key Interface Dimensions</vt:lpstr>
      <vt:lpstr>6. Cool-Down Thermal Motions</vt:lpstr>
      <vt:lpstr>'1.  Intro, Defs, Change Log'!Print_Area</vt:lpstr>
      <vt:lpstr>'2. Alignment Summary'!Print_Area</vt:lpstr>
      <vt:lpstr>'3. Ass''y, Alignment Stack-ups'!Print_Area</vt:lpstr>
      <vt:lpstr>'4. Constituent Tolerances'!Print_Area</vt:lpstr>
      <vt:lpstr>'5. Key Interface Dimensions'!Print_Area</vt:lpstr>
      <vt:lpstr>'6. Cool-Down Thermal Motions'!Print_Area</vt:lpstr>
      <vt:lpstr>'2. Alignment Summary'!Print_Titles</vt:lpstr>
      <vt:lpstr>'3. Ass''y, Alignment Stack-ups'!Print_Titles</vt:lpstr>
      <vt:lpstr>'4. Constituent Tolerances'!Print_Titles</vt:lpstr>
      <vt:lpstr>'5. Key Interface Dimensions'!Print_Titles</vt:lpstr>
      <vt:lpstr>'6. Cool-Down Thermal Motions'!Print_Titles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2018-05-29T14:41:32Z</dcterms:modified>
</cp:coreProperties>
</file>